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00" windowWidth="16608" windowHeight="9252" tabRatio="809" activeTab="9"/>
  </bookViews>
  <sheets>
    <sheet name="Summary" sheetId="47" r:id="rId1"/>
    <sheet name="Graphs" sheetId="48" r:id="rId2"/>
    <sheet name="Spr-2232" sheetId="34" r:id="rId3"/>
    <sheet name="Cod-2532" sheetId="44" r:id="rId4"/>
    <sheet name="Cod-arct" sheetId="35" r:id="rId5"/>
    <sheet name="Her-noss" sheetId="38" r:id="rId6"/>
    <sheet name="Her-30" sheetId="39" r:id="rId7"/>
    <sheet name="Her-31" sheetId="40" r:id="rId8"/>
    <sheet name="Her-nsea" sheetId="43" r:id="rId9"/>
    <sheet name="ple-nsea" sheetId="45" r:id="rId10"/>
    <sheet name="sai-nsea" sheetId="46" r:id="rId11"/>
    <sheet name="cod-347d" sheetId="49" r:id="rId12"/>
  </sheets>
  <definedNames>
    <definedName name="Bmsy" localSheetId="7">#REF!</definedName>
    <definedName name="Bmsy" localSheetId="8">#REF!</definedName>
    <definedName name="Bmsy" localSheetId="10">#REF!</definedName>
    <definedName name="Bmsy">#REF!</definedName>
    <definedName name="k" localSheetId="7">#REF!</definedName>
    <definedName name="k" localSheetId="8">#REF!</definedName>
    <definedName name="k" localSheetId="10">#REF!</definedName>
    <definedName name="k">#REF!</definedName>
    <definedName name="M" localSheetId="7">#REF!</definedName>
    <definedName name="M" localSheetId="8">#REF!</definedName>
    <definedName name="M" localSheetId="10">#REF!</definedName>
    <definedName name="M">#REF!</definedName>
    <definedName name="MSY" localSheetId="7">#REF!</definedName>
    <definedName name="MSY" localSheetId="8">#REF!</definedName>
    <definedName name="MSY" localSheetId="10">#REF!</definedName>
    <definedName name="MSY">#REF!</definedName>
    <definedName name="Rel_L_k" localSheetId="7">#REF!</definedName>
    <definedName name="Rel_L_k" localSheetId="8">#REF!</definedName>
    <definedName name="Rel_L_k" localSheetId="10">#REF!</definedName>
    <definedName name="Rel_L_k">#REF!</definedName>
    <definedName name="rmax" localSheetId="7">#REF!</definedName>
    <definedName name="rmax" localSheetId="8">#REF!</definedName>
    <definedName name="rmax" localSheetId="10">#REF!</definedName>
    <definedName name="rmax">#REF!</definedName>
  </definedNames>
  <calcPr calcId="145621"/>
</workbook>
</file>

<file path=xl/calcChain.xml><?xml version="1.0" encoding="utf-8"?>
<calcChain xmlns="http://schemas.openxmlformats.org/spreadsheetml/2006/main">
  <c r="C29" i="35" l="1"/>
  <c r="C20" i="35"/>
  <c r="C19" i="35"/>
  <c r="L8" i="35"/>
  <c r="L9" i="35" s="1"/>
  <c r="L10" i="35" s="1"/>
  <c r="L11" i="35" s="1"/>
  <c r="L12" i="35" s="1"/>
  <c r="L13" i="35" s="1"/>
  <c r="L14" i="35" s="1"/>
  <c r="L15" i="35" s="1"/>
  <c r="L16" i="35" s="1"/>
  <c r="L17" i="35" s="1"/>
  <c r="L18" i="35" s="1"/>
  <c r="L19" i="35" s="1"/>
  <c r="L20" i="35" s="1"/>
  <c r="L21" i="35" s="1"/>
  <c r="L22" i="35" s="1"/>
  <c r="L23" i="35" s="1"/>
  <c r="L24" i="35" s="1"/>
  <c r="L25" i="35" s="1"/>
  <c r="L26" i="35" s="1"/>
  <c r="L27" i="35" s="1"/>
  <c r="L28" i="35" s="1"/>
  <c r="L29" i="35" s="1"/>
  <c r="L30" i="35" s="1"/>
  <c r="L31" i="35" s="1"/>
  <c r="L32" i="35" s="1"/>
  <c r="L7" i="35"/>
  <c r="L6" i="35"/>
  <c r="N32" i="35"/>
  <c r="N31" i="35"/>
  <c r="N30" i="35"/>
  <c r="N28" i="35"/>
  <c r="N27" i="35"/>
  <c r="N26" i="35"/>
  <c r="N25" i="35"/>
  <c r="N24" i="35"/>
  <c r="N22" i="35"/>
  <c r="N21" i="35"/>
  <c r="N20" i="35"/>
  <c r="N19" i="35"/>
  <c r="N18" i="35"/>
  <c r="N17" i="35"/>
  <c r="N16" i="35"/>
  <c r="N14" i="35"/>
  <c r="N13" i="35"/>
  <c r="N12" i="35"/>
  <c r="N11" i="35"/>
  <c r="N10" i="35"/>
  <c r="N9" i="35"/>
  <c r="N8" i="35"/>
  <c r="N7" i="35"/>
  <c r="N23" i="35"/>
  <c r="N6" i="35"/>
  <c r="N5" i="35"/>
  <c r="M30" i="35"/>
  <c r="M31" i="35" s="1"/>
  <c r="M32" i="35" s="1"/>
  <c r="M7" i="35"/>
  <c r="M8" i="35" s="1"/>
  <c r="M9" i="35" s="1"/>
  <c r="M10" i="35" s="1"/>
  <c r="M11" i="35" s="1"/>
  <c r="M12" i="35" s="1"/>
  <c r="M13" i="35" s="1"/>
  <c r="M14" i="35" s="1"/>
  <c r="M15" i="35" s="1"/>
  <c r="M16" i="35" s="1"/>
  <c r="M17" i="35" s="1"/>
  <c r="M18" i="35" s="1"/>
  <c r="M19" i="35" s="1"/>
  <c r="M20" i="35" s="1"/>
  <c r="M21" i="35" s="1"/>
  <c r="M22" i="35" s="1"/>
  <c r="M23" i="35" s="1"/>
  <c r="M24" i="35" s="1"/>
  <c r="M25" i="35" s="1"/>
  <c r="M26" i="35" s="1"/>
  <c r="M27" i="35" s="1"/>
  <c r="M28" i="35" s="1"/>
  <c r="M29" i="35" s="1"/>
  <c r="M6" i="35"/>
  <c r="M5" i="35"/>
  <c r="Q2" i="47" l="1"/>
  <c r="L2" i="47"/>
  <c r="K2" i="47"/>
  <c r="G2" i="47"/>
  <c r="R2" i="47" s="1"/>
  <c r="F2" i="47"/>
  <c r="E2" i="47"/>
  <c r="P2" i="47" s="1"/>
  <c r="C2" i="47"/>
  <c r="B16" i="49" l="1"/>
  <c r="B15" i="49"/>
  <c r="B12" i="49"/>
  <c r="B11" i="49"/>
  <c r="B10" i="49"/>
  <c r="B9" i="49"/>
  <c r="B8" i="49"/>
  <c r="B7" i="49"/>
  <c r="B14" i="49"/>
  <c r="B13" i="46" l="1"/>
  <c r="K83" i="49"/>
  <c r="K82" i="49"/>
  <c r="J82" i="49"/>
  <c r="K6" i="49"/>
  <c r="K7" i="49"/>
  <c r="K8" i="49"/>
  <c r="K9" i="49"/>
  <c r="K10" i="49"/>
  <c r="K11" i="49"/>
  <c r="K12" i="49"/>
  <c r="K13" i="49"/>
  <c r="K14" i="49"/>
  <c r="K15" i="49"/>
  <c r="K16" i="49"/>
  <c r="K17" i="49"/>
  <c r="K18" i="49"/>
  <c r="K19" i="49"/>
  <c r="K20" i="49"/>
  <c r="K21" i="49"/>
  <c r="K22" i="49"/>
  <c r="K23" i="49"/>
  <c r="K24" i="49"/>
  <c r="K25" i="49"/>
  <c r="K26" i="49"/>
  <c r="K27" i="49"/>
  <c r="K28" i="49"/>
  <c r="K29" i="49"/>
  <c r="K30" i="49"/>
  <c r="K31" i="49"/>
  <c r="K32" i="49"/>
  <c r="K33" i="49"/>
  <c r="K34" i="49"/>
  <c r="K35" i="49"/>
  <c r="K36" i="49"/>
  <c r="K37" i="49"/>
  <c r="K38" i="49"/>
  <c r="K39" i="49"/>
  <c r="K40" i="49"/>
  <c r="K41" i="49"/>
  <c r="K42" i="49"/>
  <c r="K43" i="49"/>
  <c r="K44" i="49"/>
  <c r="K45" i="49"/>
  <c r="K46" i="49"/>
  <c r="K47" i="49"/>
  <c r="K48" i="49"/>
  <c r="K49" i="49"/>
  <c r="K50" i="49"/>
  <c r="K51" i="49"/>
  <c r="K52" i="49"/>
  <c r="K53" i="49"/>
  <c r="K54" i="49"/>
  <c r="K55" i="49"/>
  <c r="K56" i="49"/>
  <c r="K57" i="49"/>
  <c r="K58" i="49"/>
  <c r="K59" i="49"/>
  <c r="K60" i="49"/>
  <c r="K61" i="49"/>
  <c r="K62" i="49"/>
  <c r="K63" i="49"/>
  <c r="K64" i="49"/>
  <c r="K65" i="49"/>
  <c r="K66" i="49"/>
  <c r="K67" i="49"/>
  <c r="K68" i="49"/>
  <c r="K69" i="49"/>
  <c r="K70" i="49"/>
  <c r="K71" i="49"/>
  <c r="K72" i="49"/>
  <c r="K73" i="49"/>
  <c r="K74" i="49"/>
  <c r="K75" i="49"/>
  <c r="K76" i="49"/>
  <c r="K77" i="49"/>
  <c r="K78" i="49"/>
  <c r="K79" i="49"/>
  <c r="K80" i="49"/>
  <c r="K81" i="49"/>
  <c r="B29" i="49"/>
  <c r="C31" i="49" s="1"/>
  <c r="N2" i="47" s="1"/>
  <c r="U2" i="47" s="1"/>
  <c r="C28" i="49"/>
  <c r="J2" i="47" s="1"/>
  <c r="T2" i="47" s="1"/>
  <c r="B28" i="49"/>
  <c r="I2" i="47" s="1"/>
  <c r="B27" i="49"/>
  <c r="H2" i="47" s="1"/>
  <c r="S2" i="47" s="1"/>
  <c r="F13" i="49"/>
  <c r="F14" i="49" s="1"/>
  <c r="E13" i="49"/>
  <c r="E14" i="49" s="1"/>
  <c r="F12" i="49"/>
  <c r="E12" i="49"/>
  <c r="K5" i="49"/>
  <c r="B30" i="49" l="1"/>
  <c r="B37" i="49" s="1"/>
  <c r="E16" i="49"/>
  <c r="F16" i="49"/>
  <c r="B36" i="49"/>
  <c r="E15" i="49"/>
  <c r="B39" i="49"/>
  <c r="F15" i="49"/>
  <c r="B31" i="49"/>
  <c r="M2" i="47" s="1"/>
  <c r="B36" i="38"/>
  <c r="B36" i="39"/>
  <c r="B36" i="43"/>
  <c r="B34" i="43"/>
  <c r="B39" i="46"/>
  <c r="B38" i="46"/>
  <c r="B37" i="46"/>
  <c r="B36" i="46"/>
  <c r="B36" i="45"/>
  <c r="B35" i="43"/>
  <c r="B35" i="38"/>
  <c r="B38" i="49" l="1"/>
  <c r="F11" i="47"/>
  <c r="F10" i="47"/>
  <c r="F9" i="47"/>
  <c r="F8" i="47"/>
  <c r="F7" i="47"/>
  <c r="B38" i="34" l="1"/>
  <c r="C11" i="47" l="1"/>
  <c r="C10" i="47"/>
  <c r="C9" i="47"/>
  <c r="C8" i="47"/>
  <c r="C7" i="47"/>
  <c r="C6" i="47"/>
  <c r="C5" i="47"/>
  <c r="C4" i="47"/>
  <c r="C3" i="47"/>
  <c r="C29" i="38"/>
  <c r="N11" i="47"/>
  <c r="M11" i="47"/>
  <c r="L11" i="47"/>
  <c r="K11" i="47"/>
  <c r="J11" i="47"/>
  <c r="I11" i="47"/>
  <c r="H11" i="47"/>
  <c r="G11" i="47"/>
  <c r="R11" i="47" s="1"/>
  <c r="E11" i="47"/>
  <c r="D11" i="47"/>
  <c r="N10" i="47"/>
  <c r="M10" i="47"/>
  <c r="K10" i="47"/>
  <c r="J10" i="47"/>
  <c r="I10" i="47"/>
  <c r="H10" i="47"/>
  <c r="G10" i="47"/>
  <c r="R10" i="47" s="1"/>
  <c r="E10" i="47"/>
  <c r="D10" i="47"/>
  <c r="N9" i="47"/>
  <c r="C29" i="43"/>
  <c r="M9" i="47"/>
  <c r="L9" i="47"/>
  <c r="K9" i="47"/>
  <c r="J9" i="47"/>
  <c r="I9" i="47"/>
  <c r="H9" i="47"/>
  <c r="G9" i="47"/>
  <c r="R9" i="47" s="1"/>
  <c r="E9" i="47"/>
  <c r="Q9" i="47" s="1"/>
  <c r="D9" i="47"/>
  <c r="L8" i="47"/>
  <c r="N8" i="47"/>
  <c r="M8" i="47"/>
  <c r="K8" i="47"/>
  <c r="J8" i="47"/>
  <c r="I8" i="47"/>
  <c r="H8" i="47"/>
  <c r="G8" i="47"/>
  <c r="R8" i="47" s="1"/>
  <c r="E8" i="47"/>
  <c r="D8" i="47"/>
  <c r="N7" i="47"/>
  <c r="M7" i="47"/>
  <c r="L7" i="47"/>
  <c r="K7" i="47"/>
  <c r="J7" i="47"/>
  <c r="I7" i="47"/>
  <c r="H7" i="47"/>
  <c r="G7" i="47"/>
  <c r="R7" i="47" s="1"/>
  <c r="E7" i="47"/>
  <c r="D7" i="47"/>
  <c r="N6" i="47"/>
  <c r="M6" i="47"/>
  <c r="L6" i="47"/>
  <c r="K6" i="47"/>
  <c r="J6" i="47"/>
  <c r="I6" i="47"/>
  <c r="H6" i="47"/>
  <c r="G6" i="47"/>
  <c r="E6" i="47"/>
  <c r="D6" i="47"/>
  <c r="C29" i="40"/>
  <c r="N5" i="47"/>
  <c r="M5" i="47"/>
  <c r="L5" i="47"/>
  <c r="B14" i="40"/>
  <c r="K5" i="47"/>
  <c r="J5" i="47"/>
  <c r="I5" i="47"/>
  <c r="H5" i="47"/>
  <c r="G5" i="47"/>
  <c r="E5" i="47"/>
  <c r="N4" i="47"/>
  <c r="C29" i="39"/>
  <c r="M4" i="47"/>
  <c r="L4" i="47"/>
  <c r="K4" i="47"/>
  <c r="J4" i="47"/>
  <c r="I4" i="47"/>
  <c r="H4" i="47"/>
  <c r="G4" i="47"/>
  <c r="E4" i="47"/>
  <c r="Q4" i="47" s="1"/>
  <c r="D4" i="47"/>
  <c r="N3" i="47"/>
  <c r="C29" i="34"/>
  <c r="M3" i="47"/>
  <c r="L3" i="47"/>
  <c r="K3" i="47"/>
  <c r="J3" i="47"/>
  <c r="I3" i="47"/>
  <c r="H3" i="47"/>
  <c r="G3" i="47"/>
  <c r="E3" i="47"/>
  <c r="D3" i="47"/>
  <c r="B14" i="46"/>
  <c r="K62" i="46"/>
  <c r="K61" i="46"/>
  <c r="J61" i="46"/>
  <c r="K12" i="46"/>
  <c r="H55" i="46"/>
  <c r="H56" i="46" s="1"/>
  <c r="H57" i="46" s="1"/>
  <c r="H58" i="46" s="1"/>
  <c r="H59" i="46" s="1"/>
  <c r="H48" i="46"/>
  <c r="H49" i="46" s="1"/>
  <c r="H50" i="46" s="1"/>
  <c r="H51" i="46" s="1"/>
  <c r="H52" i="46" s="1"/>
  <c r="H42" i="46"/>
  <c r="H43" i="46" s="1"/>
  <c r="H44" i="46" s="1"/>
  <c r="H45" i="46" s="1"/>
  <c r="H41" i="46"/>
  <c r="H34" i="46"/>
  <c r="H35" i="46" s="1"/>
  <c r="H36" i="46" s="1"/>
  <c r="H37" i="46" s="1"/>
  <c r="H38" i="46" s="1"/>
  <c r="H27" i="46"/>
  <c r="H28" i="46" s="1"/>
  <c r="H29" i="46" s="1"/>
  <c r="H30" i="46" s="1"/>
  <c r="H31" i="46" s="1"/>
  <c r="H20" i="46"/>
  <c r="H21" i="46" s="1"/>
  <c r="H22" i="46" s="1"/>
  <c r="H23" i="46" s="1"/>
  <c r="H24" i="46" s="1"/>
  <c r="H14" i="46"/>
  <c r="H15" i="46" s="1"/>
  <c r="H16" i="46" s="1"/>
  <c r="H17" i="46" s="1"/>
  <c r="H13" i="46"/>
  <c r="H6" i="46"/>
  <c r="H7" i="46" s="1"/>
  <c r="H8" i="46" s="1"/>
  <c r="H9" i="46" s="1"/>
  <c r="H10" i="46" s="1"/>
  <c r="K60" i="46"/>
  <c r="K59" i="46"/>
  <c r="K58" i="46"/>
  <c r="K57" i="46"/>
  <c r="K56" i="46"/>
  <c r="K55" i="46"/>
  <c r="K54" i="46"/>
  <c r="K53" i="46"/>
  <c r="K52" i="46"/>
  <c r="K51" i="46"/>
  <c r="K50" i="46"/>
  <c r="K49" i="46"/>
  <c r="K48" i="46"/>
  <c r="K47" i="46"/>
  <c r="K46" i="46"/>
  <c r="K45" i="46"/>
  <c r="K44" i="46"/>
  <c r="K43" i="46"/>
  <c r="K42" i="46"/>
  <c r="K41" i="46"/>
  <c r="K40" i="46"/>
  <c r="K39" i="46"/>
  <c r="K38" i="46"/>
  <c r="K37" i="46"/>
  <c r="K36" i="46"/>
  <c r="K35" i="46"/>
  <c r="K34" i="46"/>
  <c r="K33" i="46"/>
  <c r="K32" i="46"/>
  <c r="K31" i="46"/>
  <c r="K30" i="46"/>
  <c r="K29" i="46"/>
  <c r="B29" i="46"/>
  <c r="C31" i="46" s="1"/>
  <c r="K28" i="46"/>
  <c r="C28" i="46"/>
  <c r="B28" i="46"/>
  <c r="K27" i="46"/>
  <c r="B27" i="46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F13" i="46"/>
  <c r="F14" i="46" s="1"/>
  <c r="F15" i="46" s="1"/>
  <c r="B11" i="46" s="1"/>
  <c r="E13" i="46"/>
  <c r="E14" i="46" s="1"/>
  <c r="E16" i="46" s="1"/>
  <c r="B9" i="46" s="1"/>
  <c r="F12" i="46"/>
  <c r="B10" i="46" s="1"/>
  <c r="E12" i="46"/>
  <c r="B7" i="46" s="1"/>
  <c r="B15" i="46" s="1"/>
  <c r="K11" i="46"/>
  <c r="K10" i="46"/>
  <c r="K9" i="46"/>
  <c r="K8" i="46"/>
  <c r="K7" i="46"/>
  <c r="K6" i="46"/>
  <c r="K5" i="46"/>
  <c r="Q7" i="47" l="1"/>
  <c r="Q5" i="47"/>
  <c r="Q8" i="47"/>
  <c r="U8" i="47"/>
  <c r="Q3" i="47"/>
  <c r="U9" i="47"/>
  <c r="P11" i="47"/>
  <c r="Q11" i="47"/>
  <c r="Q6" i="47"/>
  <c r="S8" i="47"/>
  <c r="Q10" i="47"/>
  <c r="T4" i="47"/>
  <c r="U4" i="47"/>
  <c r="U3" i="47"/>
  <c r="T7" i="47"/>
  <c r="U7" i="47"/>
  <c r="P8" i="47"/>
  <c r="T6" i="47"/>
  <c r="U6" i="47"/>
  <c r="U11" i="47"/>
  <c r="S6" i="47"/>
  <c r="S5" i="47"/>
  <c r="U5" i="47"/>
  <c r="P6" i="47"/>
  <c r="P4" i="47"/>
  <c r="P7" i="47"/>
  <c r="T8" i="47"/>
  <c r="T11" i="47"/>
  <c r="S4" i="47"/>
  <c r="T9" i="47"/>
  <c r="P9" i="47"/>
  <c r="P10" i="47"/>
  <c r="S7" i="47"/>
  <c r="S11" i="47"/>
  <c r="T5" i="47"/>
  <c r="S9" i="47"/>
  <c r="S3" i="47"/>
  <c r="P3" i="47"/>
  <c r="T3" i="47"/>
  <c r="B30" i="46"/>
  <c r="F16" i="46"/>
  <c r="B12" i="46" s="1"/>
  <c r="E15" i="46"/>
  <c r="B8" i="46" s="1"/>
  <c r="B31" i="46"/>
  <c r="B15" i="45"/>
  <c r="C31" i="45"/>
  <c r="B31" i="45"/>
  <c r="B30" i="45"/>
  <c r="B29" i="45"/>
  <c r="B28" i="45"/>
  <c r="C28" i="45"/>
  <c r="B27" i="45"/>
  <c r="B14" i="45"/>
  <c r="K66" i="45"/>
  <c r="K65" i="45"/>
  <c r="J65" i="45"/>
  <c r="K64" i="45"/>
  <c r="K63" i="45"/>
  <c r="K62" i="45"/>
  <c r="K61" i="45"/>
  <c r="K60" i="45"/>
  <c r="K59" i="45"/>
  <c r="K58" i="45"/>
  <c r="K57" i="45"/>
  <c r="K56" i="45"/>
  <c r="K55" i="45"/>
  <c r="K54" i="45"/>
  <c r="K53" i="45"/>
  <c r="K52" i="45"/>
  <c r="K51" i="45"/>
  <c r="K50" i="45"/>
  <c r="K49" i="45"/>
  <c r="K48" i="45"/>
  <c r="K47" i="45"/>
  <c r="K46" i="45"/>
  <c r="K45" i="45"/>
  <c r="K44" i="45"/>
  <c r="K43" i="45"/>
  <c r="K42" i="45"/>
  <c r="K41" i="45"/>
  <c r="K40" i="45"/>
  <c r="K39" i="45"/>
  <c r="K38" i="45"/>
  <c r="K37" i="45"/>
  <c r="K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9" i="45"/>
  <c r="K8" i="45"/>
  <c r="K7" i="45"/>
  <c r="K6" i="45"/>
  <c r="K5" i="45"/>
  <c r="B12" i="45"/>
  <c r="B11" i="45"/>
  <c r="B10" i="45"/>
  <c r="B9" i="45"/>
  <c r="B8" i="45"/>
  <c r="B7" i="45"/>
  <c r="F13" i="45"/>
  <c r="F14" i="45" s="1"/>
  <c r="F15" i="45" s="1"/>
  <c r="F12" i="45"/>
  <c r="E16" i="45"/>
  <c r="E15" i="45"/>
  <c r="E14" i="45"/>
  <c r="E13" i="45"/>
  <c r="E12" i="45"/>
  <c r="B12" i="44"/>
  <c r="B11" i="44"/>
  <c r="B10" i="44"/>
  <c r="B9" i="44"/>
  <c r="B8" i="44"/>
  <c r="B7" i="44"/>
  <c r="B29" i="44"/>
  <c r="K48" i="44"/>
  <c r="K47" i="44"/>
  <c r="K46" i="44"/>
  <c r="K45" i="44"/>
  <c r="K44" i="44"/>
  <c r="K43" i="44"/>
  <c r="K42" i="44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7" i="44"/>
  <c r="K6" i="44"/>
  <c r="K5" i="44"/>
  <c r="J47" i="44"/>
  <c r="H13" i="44"/>
  <c r="H14" i="44" s="1"/>
  <c r="G13" i="44"/>
  <c r="G14" i="44" s="1"/>
  <c r="G15" i="44" s="1"/>
  <c r="H12" i="44"/>
  <c r="G12" i="44"/>
  <c r="F6" i="44"/>
  <c r="F7" i="44" s="1"/>
  <c r="F8" i="44" s="1"/>
  <c r="F9" i="44" s="1"/>
  <c r="F10" i="44" s="1"/>
  <c r="B28" i="44"/>
  <c r="B38" i="44" s="1"/>
  <c r="C27" i="44"/>
  <c r="B27" i="44"/>
  <c r="B26" i="44"/>
  <c r="B16" i="44"/>
  <c r="C6" i="44"/>
  <c r="F16" i="45" l="1"/>
  <c r="H15" i="44"/>
  <c r="G16" i="44"/>
  <c r="H16" i="44"/>
  <c r="B37" i="44"/>
  <c r="B17" i="44"/>
  <c r="B35" i="44"/>
  <c r="B36" i="44"/>
  <c r="B30" i="44"/>
  <c r="C30" i="44"/>
  <c r="B16" i="43"/>
  <c r="B12" i="43"/>
  <c r="B11" i="43"/>
  <c r="B10" i="43"/>
  <c r="B9" i="43"/>
  <c r="B8" i="43"/>
  <c r="B7" i="43"/>
  <c r="G12" i="43"/>
  <c r="G13" i="43"/>
  <c r="G14" i="43" s="1"/>
  <c r="F12" i="43"/>
  <c r="F13" i="43"/>
  <c r="F14" i="43"/>
  <c r="B12" i="40"/>
  <c r="B11" i="40"/>
  <c r="B10" i="40"/>
  <c r="B9" i="40"/>
  <c r="B8" i="40"/>
  <c r="B7" i="40"/>
  <c r="G14" i="40"/>
  <c r="F14" i="40"/>
  <c r="F12" i="40"/>
  <c r="F13" i="40"/>
  <c r="G12" i="40"/>
  <c r="G13" i="40"/>
  <c r="C6" i="39"/>
  <c r="B12" i="39" l="1"/>
  <c r="B11" i="39"/>
  <c r="B10" i="39"/>
  <c r="B9" i="39"/>
  <c r="B8" i="39"/>
  <c r="B7" i="39"/>
  <c r="B16" i="39" s="1"/>
  <c r="G14" i="39"/>
  <c r="F14" i="39"/>
  <c r="G12" i="39"/>
  <c r="G13" i="39"/>
  <c r="F12" i="39"/>
  <c r="F13" i="39"/>
  <c r="C6" i="34"/>
  <c r="B16" i="34"/>
  <c r="B12" i="34"/>
  <c r="B11" i="34"/>
  <c r="B10" i="34"/>
  <c r="B9" i="34"/>
  <c r="B8" i="34"/>
  <c r="B7" i="34"/>
  <c r="G12" i="34"/>
  <c r="G13" i="34"/>
  <c r="F12" i="34"/>
  <c r="F13" i="34"/>
  <c r="G14" i="34"/>
  <c r="F14" i="34"/>
  <c r="B16" i="38"/>
  <c r="G14" i="35"/>
  <c r="F14" i="35"/>
  <c r="F14" i="38"/>
  <c r="G14" i="38"/>
  <c r="B10" i="38"/>
  <c r="B7" i="38"/>
  <c r="G12" i="38"/>
  <c r="G13" i="38"/>
  <c r="B16" i="35" l="1"/>
  <c r="C6" i="35"/>
  <c r="G12" i="35"/>
  <c r="B10" i="35" s="1"/>
  <c r="G13" i="35"/>
  <c r="F12" i="35"/>
  <c r="B7" i="35" s="1"/>
  <c r="F13" i="35"/>
  <c r="B15" i="43" l="1"/>
  <c r="B14" i="43"/>
  <c r="K69" i="43"/>
  <c r="J68" i="43"/>
  <c r="K68" i="43"/>
  <c r="K62" i="34"/>
  <c r="K6" i="43"/>
  <c r="K7" i="43"/>
  <c r="K8" i="43"/>
  <c r="K9" i="43"/>
  <c r="K10" i="43"/>
  <c r="K11" i="43"/>
  <c r="K12" i="43"/>
  <c r="K13" i="43"/>
  <c r="K14" i="43"/>
  <c r="K15" i="43"/>
  <c r="K16" i="43"/>
  <c r="K17" i="43"/>
  <c r="K18" i="43"/>
  <c r="K19" i="43"/>
  <c r="K20" i="43"/>
  <c r="K21" i="43"/>
  <c r="K22" i="43"/>
  <c r="K23" i="43"/>
  <c r="K24" i="43"/>
  <c r="K25" i="43"/>
  <c r="K26" i="43"/>
  <c r="K27" i="43"/>
  <c r="K28" i="43"/>
  <c r="K29" i="43"/>
  <c r="K30" i="43"/>
  <c r="K31" i="43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K48" i="43"/>
  <c r="K49" i="43"/>
  <c r="K50" i="43"/>
  <c r="K51" i="43"/>
  <c r="K52" i="43"/>
  <c r="K53" i="43"/>
  <c r="K54" i="43"/>
  <c r="K55" i="43"/>
  <c r="K56" i="43"/>
  <c r="K57" i="43"/>
  <c r="K58" i="43"/>
  <c r="K59" i="43"/>
  <c r="K60" i="43"/>
  <c r="K61" i="43"/>
  <c r="K62" i="43"/>
  <c r="K63" i="43"/>
  <c r="K64" i="43"/>
  <c r="K65" i="43"/>
  <c r="K66" i="43"/>
  <c r="K67" i="43"/>
  <c r="K5" i="43"/>
  <c r="K69" i="39"/>
  <c r="K69" i="40"/>
  <c r="H62" i="43"/>
  <c r="H63" i="43" s="1"/>
  <c r="H64" i="43" s="1"/>
  <c r="H65" i="43" s="1"/>
  <c r="H66" i="43" s="1"/>
  <c r="H56" i="43"/>
  <c r="H57" i="43" s="1"/>
  <c r="H58" i="43" s="1"/>
  <c r="H59" i="43" s="1"/>
  <c r="H55" i="43"/>
  <c r="H49" i="43"/>
  <c r="H50" i="43" s="1"/>
  <c r="H51" i="43" s="1"/>
  <c r="H52" i="43" s="1"/>
  <c r="H48" i="43"/>
  <c r="H42" i="43"/>
  <c r="H43" i="43" s="1"/>
  <c r="H44" i="43" s="1"/>
  <c r="H45" i="43" s="1"/>
  <c r="H41" i="43"/>
  <c r="H34" i="43"/>
  <c r="H35" i="43" s="1"/>
  <c r="H36" i="43" s="1"/>
  <c r="H37" i="43" s="1"/>
  <c r="H38" i="43" s="1"/>
  <c r="H27" i="43"/>
  <c r="H28" i="43" s="1"/>
  <c r="H29" i="43" s="1"/>
  <c r="H30" i="43" s="1"/>
  <c r="H31" i="43" s="1"/>
  <c r="B27" i="43"/>
  <c r="B37" i="43" s="1"/>
  <c r="C26" i="43"/>
  <c r="B26" i="43"/>
  <c r="B25" i="43"/>
  <c r="H20" i="43"/>
  <c r="H21" i="43" s="1"/>
  <c r="H22" i="43" s="1"/>
  <c r="H23" i="43" s="1"/>
  <c r="H24" i="43" s="1"/>
  <c r="H15" i="43"/>
  <c r="H16" i="43" s="1"/>
  <c r="H17" i="43" s="1"/>
  <c r="H14" i="43"/>
  <c r="H13" i="43"/>
  <c r="H6" i="43"/>
  <c r="H7" i="43" s="1"/>
  <c r="H8" i="43" s="1"/>
  <c r="H9" i="43" s="1"/>
  <c r="H10" i="43" s="1"/>
  <c r="E6" i="43"/>
  <c r="E7" i="43" s="1"/>
  <c r="E8" i="43" s="1"/>
  <c r="E9" i="43" s="1"/>
  <c r="E10" i="43" s="1"/>
  <c r="C26" i="40"/>
  <c r="B15" i="40"/>
  <c r="K68" i="40"/>
  <c r="J68" i="40"/>
  <c r="K67" i="40"/>
  <c r="K66" i="40"/>
  <c r="K65" i="40"/>
  <c r="K64" i="40"/>
  <c r="K63" i="40"/>
  <c r="K62" i="40"/>
  <c r="K61" i="40"/>
  <c r="K60" i="40"/>
  <c r="K59" i="40"/>
  <c r="K58" i="40"/>
  <c r="K57" i="40"/>
  <c r="K56" i="40"/>
  <c r="K55" i="40"/>
  <c r="K54" i="40"/>
  <c r="K53" i="40"/>
  <c r="K52" i="40"/>
  <c r="K51" i="40"/>
  <c r="K50" i="40"/>
  <c r="K49" i="40"/>
  <c r="K48" i="40"/>
  <c r="K47" i="40"/>
  <c r="K46" i="40"/>
  <c r="K45" i="40"/>
  <c r="K44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B27" i="40"/>
  <c r="B37" i="40" s="1"/>
  <c r="K26" i="40"/>
  <c r="B26" i="40"/>
  <c r="K25" i="40"/>
  <c r="B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K7" i="40"/>
  <c r="K6" i="40"/>
  <c r="E6" i="40"/>
  <c r="E7" i="40" s="1"/>
  <c r="E8" i="40" s="1"/>
  <c r="E9" i="40" s="1"/>
  <c r="E10" i="40" s="1"/>
  <c r="K5" i="40"/>
  <c r="B15" i="39"/>
  <c r="K68" i="39"/>
  <c r="J68" i="39"/>
  <c r="B29" i="43" l="1"/>
  <c r="G16" i="43"/>
  <c r="F15" i="43"/>
  <c r="F16" i="43"/>
  <c r="B28" i="43"/>
  <c r="G15" i="43"/>
  <c r="F16" i="40"/>
  <c r="G16" i="40"/>
  <c r="B28" i="40"/>
  <c r="B36" i="40" s="1"/>
  <c r="F15" i="40"/>
  <c r="G15" i="40"/>
  <c r="B29" i="40"/>
  <c r="B17" i="35"/>
  <c r="B15" i="34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B27" i="39"/>
  <c r="B37" i="39" s="1"/>
  <c r="K26" i="39"/>
  <c r="C26" i="39"/>
  <c r="B26" i="39"/>
  <c r="K25" i="39"/>
  <c r="B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F16" i="39"/>
  <c r="K12" i="39"/>
  <c r="K11" i="39"/>
  <c r="K10" i="39"/>
  <c r="K9" i="39"/>
  <c r="K8" i="39"/>
  <c r="K7" i="39"/>
  <c r="K6" i="39"/>
  <c r="E6" i="39"/>
  <c r="E7" i="39" s="1"/>
  <c r="E8" i="39" s="1"/>
  <c r="E9" i="39" s="1"/>
  <c r="E10" i="39" s="1"/>
  <c r="K5" i="39"/>
  <c r="B15" i="38"/>
  <c r="J101" i="38"/>
  <c r="K61" i="38"/>
  <c r="K62" i="38"/>
  <c r="K63" i="38"/>
  <c r="K64" i="38"/>
  <c r="K65" i="38"/>
  <c r="K66" i="38"/>
  <c r="K67" i="38"/>
  <c r="K68" i="38"/>
  <c r="K69" i="38"/>
  <c r="K70" i="38"/>
  <c r="K71" i="38"/>
  <c r="K72" i="38"/>
  <c r="K73" i="38"/>
  <c r="K74" i="38"/>
  <c r="K75" i="38"/>
  <c r="K76" i="38"/>
  <c r="K77" i="38"/>
  <c r="K78" i="38"/>
  <c r="K79" i="38"/>
  <c r="K80" i="38"/>
  <c r="K81" i="38"/>
  <c r="K82" i="38"/>
  <c r="K83" i="38"/>
  <c r="K84" i="38"/>
  <c r="K85" i="38"/>
  <c r="K86" i="38"/>
  <c r="K87" i="38"/>
  <c r="K88" i="38"/>
  <c r="K89" i="38"/>
  <c r="K90" i="38"/>
  <c r="K91" i="38"/>
  <c r="K92" i="38"/>
  <c r="K93" i="38"/>
  <c r="K94" i="38"/>
  <c r="K95" i="38"/>
  <c r="K96" i="38"/>
  <c r="K97" i="38"/>
  <c r="K98" i="38"/>
  <c r="K99" i="38"/>
  <c r="K100" i="38"/>
  <c r="B35" i="40" l="1"/>
  <c r="B34" i="40"/>
  <c r="G16" i="39"/>
  <c r="F15" i="39"/>
  <c r="G15" i="39"/>
  <c r="B29" i="39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B27" i="38"/>
  <c r="B37" i="38" s="1"/>
  <c r="K26" i="38"/>
  <c r="C26" i="38"/>
  <c r="B26" i="38"/>
  <c r="K25" i="38"/>
  <c r="B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F13" i="38"/>
  <c r="F15" i="38" s="1"/>
  <c r="B8" i="38" s="1"/>
  <c r="K11" i="38"/>
  <c r="F12" i="38"/>
  <c r="E8" i="38"/>
  <c r="E9" i="38" s="1"/>
  <c r="E10" i="38" s="1"/>
  <c r="E7" i="38"/>
  <c r="E6" i="38"/>
  <c r="B37" i="34"/>
  <c r="K101" i="38" l="1"/>
  <c r="K102" i="38" s="1"/>
  <c r="B14" i="38" s="1"/>
  <c r="B28" i="38" s="1"/>
  <c r="G15" i="38"/>
  <c r="B11" i="38" s="1"/>
  <c r="G16" i="38"/>
  <c r="B12" i="38" s="1"/>
  <c r="B29" i="38"/>
  <c r="F16" i="38"/>
  <c r="B9" i="38" s="1"/>
  <c r="B34" i="38" l="1"/>
  <c r="J83" i="35"/>
  <c r="K18" i="35"/>
  <c r="K19" i="35"/>
  <c r="K20" i="35"/>
  <c r="K24" i="35"/>
  <c r="K25" i="35"/>
  <c r="K22" i="35"/>
  <c r="K23" i="35"/>
  <c r="K21" i="35"/>
  <c r="K26" i="35"/>
  <c r="K28" i="35"/>
  <c r="K31" i="35"/>
  <c r="K32" i="35"/>
  <c r="K29" i="35"/>
  <c r="K30" i="35"/>
  <c r="K27" i="35"/>
  <c r="K34" i="35"/>
  <c r="K35" i="35"/>
  <c r="K38" i="35"/>
  <c r="K37" i="35"/>
  <c r="K39" i="35"/>
  <c r="K36" i="35"/>
  <c r="K33" i="35"/>
  <c r="K40" i="35"/>
  <c r="K41" i="35"/>
  <c r="K43" i="35"/>
  <c r="K45" i="35"/>
  <c r="K46" i="35"/>
  <c r="K44" i="35"/>
  <c r="K42" i="35"/>
  <c r="K50" i="35"/>
  <c r="K47" i="35"/>
  <c r="K53" i="35"/>
  <c r="K49" i="35"/>
  <c r="K52" i="35"/>
  <c r="K51" i="35"/>
  <c r="K48" i="35"/>
  <c r="K61" i="35"/>
  <c r="K54" i="35"/>
  <c r="K60" i="35"/>
  <c r="K58" i="35"/>
  <c r="K59" i="35"/>
  <c r="K55" i="35"/>
  <c r="K56" i="35"/>
  <c r="K70" i="35"/>
  <c r="K57" i="35"/>
  <c r="K68" i="35"/>
  <c r="K62" i="35"/>
  <c r="K67" i="35"/>
  <c r="K63" i="35"/>
  <c r="K65" i="35"/>
  <c r="K76" i="35"/>
  <c r="K66" i="35"/>
  <c r="K73" i="35"/>
  <c r="K71" i="35"/>
  <c r="K64" i="35"/>
  <c r="K69" i="35"/>
  <c r="K74" i="35"/>
  <c r="K81" i="35"/>
  <c r="K72" i="35"/>
  <c r="K79" i="35"/>
  <c r="K80" i="35"/>
  <c r="K77" i="35"/>
  <c r="K75" i="35"/>
  <c r="K78" i="35"/>
  <c r="K6" i="35"/>
  <c r="K7" i="35"/>
  <c r="K9" i="35"/>
  <c r="K8" i="35"/>
  <c r="K10" i="35"/>
  <c r="K11" i="35"/>
  <c r="K12" i="35"/>
  <c r="K13" i="35"/>
  <c r="K16" i="35"/>
  <c r="K17" i="35"/>
  <c r="K14" i="35"/>
  <c r="K15" i="35"/>
  <c r="K5" i="35"/>
  <c r="K83" i="35" l="1"/>
  <c r="K84" i="35" s="1"/>
  <c r="B15" i="35" s="1"/>
  <c r="J61" i="34"/>
  <c r="K60" i="34"/>
  <c r="K53" i="34"/>
  <c r="K46" i="34"/>
  <c r="K39" i="34"/>
  <c r="K32" i="34"/>
  <c r="K25" i="34"/>
  <c r="K18" i="34"/>
  <c r="K11" i="34"/>
  <c r="B28" i="35"/>
  <c r="C27" i="35"/>
  <c r="B27" i="35"/>
  <c r="B26" i="35"/>
  <c r="E6" i="35"/>
  <c r="E7" i="35" s="1"/>
  <c r="E8" i="35" s="1"/>
  <c r="E9" i="35" s="1"/>
  <c r="E10" i="35" s="1"/>
  <c r="B38" i="35" l="1"/>
  <c r="C30" i="35"/>
  <c r="G15" i="34"/>
  <c r="G16" i="34"/>
  <c r="G16" i="35"/>
  <c r="B12" i="35" s="1"/>
  <c r="F16" i="35"/>
  <c r="B9" i="35" s="1"/>
  <c r="G15" i="35"/>
  <c r="B11" i="35" s="1"/>
  <c r="F15" i="35"/>
  <c r="B8" i="35" s="1"/>
  <c r="B30" i="35"/>
  <c r="B29" i="35" l="1"/>
  <c r="L10" i="47" s="1"/>
  <c r="T10" i="47" l="1"/>
  <c r="U10" i="47"/>
  <c r="S10" i="47"/>
  <c r="B36" i="35"/>
  <c r="B35" i="35"/>
  <c r="B37" i="35"/>
  <c r="C26" i="34"/>
  <c r="B25" i="34" l="1"/>
  <c r="B27" i="34"/>
  <c r="B29" i="34" s="1"/>
  <c r="B26" i="34"/>
  <c r="K59" i="34"/>
  <c r="K58" i="34"/>
  <c r="K57" i="34"/>
  <c r="K56" i="34"/>
  <c r="K55" i="34"/>
  <c r="K54" i="34"/>
  <c r="K52" i="34"/>
  <c r="K51" i="34"/>
  <c r="K50" i="34"/>
  <c r="K49" i="34"/>
  <c r="K48" i="34"/>
  <c r="K47" i="34"/>
  <c r="K45" i="34"/>
  <c r="K44" i="34"/>
  <c r="K43" i="34"/>
  <c r="K42" i="34"/>
  <c r="K41" i="34"/>
  <c r="K40" i="34"/>
  <c r="K38" i="34"/>
  <c r="K37" i="34"/>
  <c r="K36" i="34"/>
  <c r="K35" i="34"/>
  <c r="K34" i="34"/>
  <c r="K33" i="34"/>
  <c r="K31" i="34"/>
  <c r="K30" i="34"/>
  <c r="K29" i="34"/>
  <c r="K28" i="34"/>
  <c r="K27" i="34"/>
  <c r="K26" i="34"/>
  <c r="K24" i="34"/>
  <c r="K23" i="34"/>
  <c r="K22" i="34"/>
  <c r="K21" i="34"/>
  <c r="K20" i="34"/>
  <c r="K19" i="34"/>
  <c r="K17" i="34"/>
  <c r="K16" i="34"/>
  <c r="K15" i="34"/>
  <c r="K14" i="34"/>
  <c r="K13" i="34"/>
  <c r="K12" i="34"/>
  <c r="K10" i="34"/>
  <c r="K9" i="34"/>
  <c r="K8" i="34"/>
  <c r="K7" i="34"/>
  <c r="K6" i="34"/>
  <c r="K5" i="34"/>
  <c r="H55" i="34"/>
  <c r="H56" i="34" s="1"/>
  <c r="H57" i="34" s="1"/>
  <c r="H58" i="34" s="1"/>
  <c r="H59" i="34" s="1"/>
  <c r="H48" i="34"/>
  <c r="H49" i="34" s="1"/>
  <c r="H50" i="34" s="1"/>
  <c r="H51" i="34" s="1"/>
  <c r="H52" i="34" s="1"/>
  <c r="H41" i="34"/>
  <c r="H42" i="34" s="1"/>
  <c r="H43" i="34" s="1"/>
  <c r="H44" i="34" s="1"/>
  <c r="H45" i="34" s="1"/>
  <c r="H34" i="34"/>
  <c r="H35" i="34" s="1"/>
  <c r="H36" i="34" s="1"/>
  <c r="H37" i="34" s="1"/>
  <c r="H38" i="34" s="1"/>
  <c r="H27" i="34"/>
  <c r="H28" i="34" s="1"/>
  <c r="H29" i="34" s="1"/>
  <c r="H30" i="34" s="1"/>
  <c r="H31" i="34" s="1"/>
  <c r="H20" i="34"/>
  <c r="H21" i="34" s="1"/>
  <c r="H22" i="34" s="1"/>
  <c r="H23" i="34" s="1"/>
  <c r="H24" i="34" s="1"/>
  <c r="H13" i="34"/>
  <c r="H14" i="34" s="1"/>
  <c r="H15" i="34" s="1"/>
  <c r="H16" i="34" s="1"/>
  <c r="H17" i="34" s="1"/>
  <c r="H6" i="34"/>
  <c r="H7" i="34" s="1"/>
  <c r="H8" i="34" s="1"/>
  <c r="H9" i="34" s="1"/>
  <c r="H10" i="34" s="1"/>
  <c r="E6" i="34"/>
  <c r="E7" i="34" s="1"/>
  <c r="E8" i="34" s="1"/>
  <c r="E9" i="34" s="1"/>
  <c r="E10" i="34" s="1"/>
  <c r="K61" i="34" l="1"/>
  <c r="B14" i="34" s="1"/>
  <c r="B28" i="34" s="1"/>
  <c r="F15" i="34"/>
  <c r="F16" i="34"/>
  <c r="B36" i="34" l="1"/>
  <c r="B35" i="34"/>
  <c r="B34" i="34"/>
  <c r="B14" i="39" l="1"/>
  <c r="B28" i="39" s="1"/>
  <c r="B34" i="39" l="1"/>
  <c r="B35" i="39"/>
</calcChain>
</file>

<file path=xl/sharedStrings.xml><?xml version="1.0" encoding="utf-8"?>
<sst xmlns="http://schemas.openxmlformats.org/spreadsheetml/2006/main" count="543" uniqueCount="121">
  <si>
    <t>SSB</t>
  </si>
  <si>
    <t>N</t>
  </si>
  <si>
    <t>F</t>
  </si>
  <si>
    <t>From ICES:</t>
  </si>
  <si>
    <t>Fmsy</t>
  </si>
  <si>
    <t>SSBtrigger/SSBpa</t>
  </si>
  <si>
    <t>tm&gt;=50%</t>
  </si>
  <si>
    <t>adult M</t>
  </si>
  <si>
    <t>Mean F 2005-10</t>
  </si>
  <si>
    <t>F LCL</t>
  </si>
  <si>
    <t>F UCL</t>
  </si>
  <si>
    <t>Mean SSB</t>
  </si>
  <si>
    <t>SSB LCL</t>
  </si>
  <si>
    <t>SSB UCL</t>
  </si>
  <si>
    <t>Wc (lowest weight in catch, in g)</t>
  </si>
  <si>
    <t>Wmean (from weight in catch and N, in g)</t>
  </si>
  <si>
    <t>F/M</t>
  </si>
  <si>
    <t>From FishBase 08/12:</t>
  </si>
  <si>
    <t>a</t>
  </si>
  <si>
    <t>b</t>
  </si>
  <si>
    <t>Linf</t>
  </si>
  <si>
    <t>K</t>
  </si>
  <si>
    <t>to</t>
  </si>
  <si>
    <t>Calculated from ICES and FB</t>
  </si>
  <si>
    <t>Lm</t>
  </si>
  <si>
    <t>Lopt</t>
  </si>
  <si>
    <t>Lc</t>
  </si>
  <si>
    <t>Lmean</t>
  </si>
  <si>
    <t>Lmean if F=M</t>
  </si>
  <si>
    <t>Predictions from Lc &amp; Lmean &amp; growth &amp; M</t>
  </si>
  <si>
    <t>Equilibrium Lmean from Lc, growth, M, and ICES F</t>
  </si>
  <si>
    <t xml:space="preserve">mean F 2005-10 </t>
  </si>
  <si>
    <t>F/M if K/M=2/3</t>
  </si>
  <si>
    <t>Lmean if F=M &amp; K/M=2/3</t>
  </si>
  <si>
    <t>Sprat, Baltic</t>
  </si>
  <si>
    <t>Mean</t>
  </si>
  <si>
    <t>SD</t>
  </si>
  <si>
    <t>SE</t>
  </si>
  <si>
    <t>LCL</t>
  </si>
  <si>
    <t>UCL</t>
  </si>
  <si>
    <t>W</t>
  </si>
  <si>
    <t>W*N</t>
  </si>
  <si>
    <t>Sum</t>
  </si>
  <si>
    <t>Mean W</t>
  </si>
  <si>
    <t>Cod, Arctic</t>
  </si>
  <si>
    <t>Herring, Norwegian Spring Spawners</t>
  </si>
  <si>
    <t>http://www.ices.dk/committe/acom/comwork/report/2012/2012/spr-2232.pdf</t>
  </si>
  <si>
    <t>http://www.ices.dk/reports/ACOM/2012/WGBFAS/Sec%2007%20Sprat%20is%20Subdivisions%2022-32.pdf</t>
  </si>
  <si>
    <t>http://www.ices.dk/reports/ACOM/2012/AFWG/Sec%2003%20North-ast%20Arctic%20Cod%20(Subareas%20I%20and%2011).pdf</t>
  </si>
  <si>
    <t>http://www.ices.dk/reports/ACOM/2011/WGWIDE/Sec%2007%20Norwegian%20Spring%20Spawning%20Herring.pdf</t>
  </si>
  <si>
    <t>http://www.ices.dk/committe/acom/comwork/report/2011/2011/her-noss.pdf</t>
  </si>
  <si>
    <t>Herring, Bothnian Bay</t>
  </si>
  <si>
    <t>Herring, Bothnian Sea</t>
  </si>
  <si>
    <t>http://www.ices.dk/committe/acom/comwork/report/2012/2012/her-31.pdf</t>
  </si>
  <si>
    <t>http://www.ices.dk/reports/ACOM/2012/WGBFAS/Sec%2006.5%20Herrring%20in%20Subdivision%2031.pdf</t>
  </si>
  <si>
    <t>unknown</t>
  </si>
  <si>
    <t>http://www.ices.dk/reports/ACOM/2012/WGBFAS/Sec%2006.4%20Herrring%20in%20Subdivision%2030.pdf</t>
  </si>
  <si>
    <t>Herring, North Sea</t>
  </si>
  <si>
    <t>http://www.ices.dk/reports/ACOM/2012/HAWG/Sec%2002%20North%20Sea%20Herring.pdf</t>
  </si>
  <si>
    <t>no available report in 2012</t>
  </si>
  <si>
    <t>Lm (from tm)</t>
  </si>
  <si>
    <t>Mean F 2005-11</t>
  </si>
  <si>
    <t>Mean SSB 2005-11</t>
  </si>
  <si>
    <t xml:space="preserve">mean F 2005-11 </t>
  </si>
  <si>
    <t>tc (age at first capture)</t>
  </si>
  <si>
    <t>F/Fmsy</t>
  </si>
  <si>
    <t>Mean F 2005-ff</t>
  </si>
  <si>
    <t>Eastern Baltic cod, sub area 25-32</t>
  </si>
  <si>
    <t>http://www.ices.dk/reports/ACOM/2012/WGBFAS/Sec%2002.4%20Cod%20in%20Subdivisions%2025-32.pdf</t>
  </si>
  <si>
    <t>Mean L</t>
  </si>
  <si>
    <t>Numbers in catch</t>
  </si>
  <si>
    <t>N*L</t>
  </si>
  <si>
    <t>NA</t>
  </si>
  <si>
    <t>Plaice, North Sea</t>
  </si>
  <si>
    <t>http://www.ices.dk/reports/ACOM/2012/WGNSSK/Sec%2008%20Plaice%20in%20Subarea%20IV.pdf</t>
  </si>
  <si>
    <t>Mean F 2005ff</t>
  </si>
  <si>
    <t>Weight Catch (kg)</t>
  </si>
  <si>
    <t>N Catch (000)</t>
  </si>
  <si>
    <t>Wmean</t>
  </si>
  <si>
    <t>Saithe, North Sea</t>
  </si>
  <si>
    <t>http://www.ices.dk/committe/acom/comwork/report/2012/2012/sai-3a46.pdf</t>
  </si>
  <si>
    <t>http://www.ices.dk/reports/ACOM/2012/WGNSSK/Sec%2011%20Saithe%20in%20Subareas%20IV,%20VI%20and%20Division%20IIIa.pdf</t>
  </si>
  <si>
    <t>Stock</t>
  </si>
  <si>
    <t>spr-2232</t>
  </si>
  <si>
    <t>cod-2532</t>
  </si>
  <si>
    <t>her-30</t>
  </si>
  <si>
    <t>her-31</t>
  </si>
  <si>
    <t>cod-arct</t>
  </si>
  <si>
    <t>her-noss</t>
  </si>
  <si>
    <t>ple-nsea</t>
  </si>
  <si>
    <t>sai-nsea</t>
  </si>
  <si>
    <t>her-nsea</t>
  </si>
  <si>
    <t>F2005ff</t>
  </si>
  <si>
    <t>SSBpa</t>
  </si>
  <si>
    <t>SSB2005ff</t>
  </si>
  <si>
    <t>SSB/(2*SSBpa)</t>
  </si>
  <si>
    <t>Lopt(2/3)</t>
  </si>
  <si>
    <t>L(F=M)</t>
  </si>
  <si>
    <t>L(F=M 2/3)</t>
  </si>
  <si>
    <t>Lmean/Lm</t>
  </si>
  <si>
    <t>Lmean/Lopt</t>
  </si>
  <si>
    <t>X</t>
  </si>
  <si>
    <t>Y</t>
  </si>
  <si>
    <t>M</t>
  </si>
  <si>
    <t>Sequence</t>
  </si>
  <si>
    <t>mean F from Lmean</t>
  </si>
  <si>
    <t>mean F if M=1.5 K</t>
  </si>
  <si>
    <t>mean F if M = 1.5 K</t>
  </si>
  <si>
    <t>Lmean/LF=M</t>
  </si>
  <si>
    <t>MSC</t>
  </si>
  <si>
    <t>Yes</t>
  </si>
  <si>
    <r>
      <rPr>
        <b/>
        <i/>
        <sz val="11"/>
        <color theme="1"/>
        <rFont val="Calibri"/>
        <family val="2"/>
        <scheme val="minor"/>
      </rPr>
      <t>F/F</t>
    </r>
    <r>
      <rPr>
        <b/>
        <i/>
        <vertAlign val="subscript"/>
        <sz val="11"/>
        <color theme="1"/>
        <rFont val="Calibri"/>
        <family val="2"/>
        <scheme val="minor"/>
      </rPr>
      <t>msy</t>
    </r>
  </si>
  <si>
    <r>
      <rPr>
        <b/>
        <i/>
        <sz val="11"/>
        <color theme="1"/>
        <rFont val="Calibri"/>
        <family val="2"/>
        <scheme val="minor"/>
      </rPr>
      <t>SSB</t>
    </r>
    <r>
      <rPr>
        <b/>
        <sz val="11"/>
        <color theme="1"/>
        <rFont val="Calibri"/>
        <family val="2"/>
        <scheme val="minor"/>
      </rPr>
      <t>/(2*</t>
    </r>
    <r>
      <rPr>
        <b/>
        <i/>
        <sz val="11"/>
        <color theme="1"/>
        <rFont val="Calibri"/>
        <family val="2"/>
        <scheme val="minor"/>
      </rPr>
      <t>SSB</t>
    </r>
    <r>
      <rPr>
        <b/>
        <i/>
        <vertAlign val="subscript"/>
        <sz val="11"/>
        <color theme="1"/>
        <rFont val="Calibri"/>
        <family val="2"/>
        <scheme val="minor"/>
      </rPr>
      <t>pa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</si>
  <si>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1"/>
        <color theme="1"/>
        <rFont val="Calibri"/>
        <family val="2"/>
        <scheme val="minor"/>
      </rPr>
      <t>L</t>
    </r>
    <r>
      <rPr>
        <b/>
        <i/>
        <vertAlign val="subscript"/>
        <sz val="11"/>
        <color theme="1"/>
        <rFont val="Calibri"/>
        <family val="2"/>
        <scheme val="minor"/>
      </rPr>
      <t>mean</t>
    </r>
    <r>
      <rPr>
        <b/>
        <i/>
        <sz val="11"/>
        <color theme="1"/>
        <rFont val="Calibri"/>
        <family val="2"/>
        <scheme val="minor"/>
      </rPr>
      <t>/L</t>
    </r>
    <r>
      <rPr>
        <b/>
        <i/>
        <vertAlign val="subscript"/>
        <sz val="11"/>
        <color theme="1"/>
        <rFont val="Calibri"/>
        <family val="2"/>
        <scheme val="minor"/>
      </rPr>
      <t>m</t>
    </r>
  </si>
  <si>
    <r>
      <rPr>
        <b/>
        <i/>
        <sz val="11"/>
        <color theme="1"/>
        <rFont val="Calibri"/>
        <family val="2"/>
        <scheme val="minor"/>
      </rPr>
      <t>L</t>
    </r>
    <r>
      <rPr>
        <b/>
        <i/>
        <vertAlign val="subscript"/>
        <sz val="11"/>
        <color theme="1"/>
        <rFont val="Calibri"/>
        <family val="2"/>
        <scheme val="minor"/>
      </rPr>
      <t>mean</t>
    </r>
    <r>
      <rPr>
        <b/>
        <i/>
        <sz val="11"/>
        <color theme="1"/>
        <rFont val="Calibri"/>
        <family val="2"/>
        <scheme val="minor"/>
      </rPr>
      <t>/L</t>
    </r>
    <r>
      <rPr>
        <b/>
        <i/>
        <vertAlign val="subscript"/>
        <sz val="11"/>
        <color theme="1"/>
        <rFont val="Calibri"/>
        <family val="2"/>
        <scheme val="minor"/>
      </rPr>
      <t>opt</t>
    </r>
  </si>
  <si>
    <r>
      <rPr>
        <b/>
        <i/>
        <sz val="11"/>
        <color theme="1"/>
        <rFont val="Calibri"/>
        <family val="2"/>
        <scheme val="minor"/>
      </rPr>
      <t>L</t>
    </r>
    <r>
      <rPr>
        <b/>
        <i/>
        <vertAlign val="subscript"/>
        <sz val="11"/>
        <color theme="1"/>
        <rFont val="Calibri"/>
        <family val="2"/>
        <scheme val="minor"/>
      </rPr>
      <t>mean</t>
    </r>
    <r>
      <rPr>
        <b/>
        <i/>
        <sz val="11"/>
        <color theme="1"/>
        <rFont val="Calibri"/>
        <family val="2"/>
        <scheme val="minor"/>
      </rPr>
      <t>/L</t>
    </r>
    <r>
      <rPr>
        <b/>
        <vertAlign val="subscript"/>
        <sz val="11"/>
        <color theme="1"/>
        <rFont val="Calibri"/>
        <family val="2"/>
        <scheme val="minor"/>
      </rPr>
      <t>(</t>
    </r>
    <r>
      <rPr>
        <b/>
        <i/>
        <vertAlign val="subscript"/>
        <sz val="11"/>
        <color theme="1"/>
        <rFont val="Calibri"/>
        <family val="2"/>
        <scheme val="minor"/>
      </rPr>
      <t>F=M</t>
    </r>
    <r>
      <rPr>
        <b/>
        <vertAlign val="subscript"/>
        <sz val="11"/>
        <color theme="1"/>
        <rFont val="Calibri"/>
        <family val="2"/>
        <scheme val="minor"/>
      </rPr>
      <t>)</t>
    </r>
  </si>
  <si>
    <t>Cod, North Sea</t>
  </si>
  <si>
    <t>http://www.ices.dk/reports/ACOM/2012/WGNSSK/Sec%2014%20Cod.pdf</t>
  </si>
  <si>
    <t>cod-347d</t>
  </si>
  <si>
    <t>Mid-Bins</t>
  </si>
  <si>
    <t>Up_Bins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</si>
</sst>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3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4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2" fillId="8" borderId="8" applyNumberFormat="0" applyFont="0" applyAlignment="0" applyProtection="0"/>
  </cellStyleXfs>
  <cellXfs count="71"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/>
    <xf numFmtId="2" fontId="0" fillId="0" borderId="0" xfId="0" applyNumberFormat="1"/>
    <xf numFmtId="0" fontId="0" fillId="0" borderId="0" xfId="0"/>
    <xf numFmtId="4" fontId="0" fillId="0" borderId="0" xfId="0" applyNumberFormat="1"/>
    <xf numFmtId="164" fontId="0" fillId="0" borderId="0" xfId="0" applyNumberFormat="1"/>
    <xf numFmtId="0" fontId="2" fillId="0" borderId="0" xfId="44" applyFont="1" applyFill="1" applyBorder="1" applyAlignment="1">
      <alignment horizontal="right" wrapText="1"/>
    </xf>
    <xf numFmtId="1" fontId="0" fillId="0" borderId="0" xfId="0" applyNumberFormat="1"/>
    <xf numFmtId="0" fontId="0" fillId="0" borderId="0" xfId="0"/>
    <xf numFmtId="37" fontId="0" fillId="0" borderId="0" xfId="45" applyNumberFormat="1" applyFont="1"/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0" fillId="0" borderId="0" xfId="0" applyBorder="1"/>
    <xf numFmtId="0" fontId="1" fillId="0" borderId="0" xfId="0" applyFont="1"/>
    <xf numFmtId="3" fontId="0" fillId="0" borderId="0" xfId="0" applyNumberFormat="1"/>
    <xf numFmtId="0" fontId="2" fillId="0" borderId="0" xfId="44" applyFont="1" applyFill="1" applyBorder="1" applyAlignment="1">
      <alignment horizontal="right" wrapText="1"/>
    </xf>
    <xf numFmtId="2" fontId="0" fillId="0" borderId="0" xfId="0" applyNumberFormat="1"/>
    <xf numFmtId="0" fontId="23" fillId="0" borderId="0" xfId="47" applyFont="1" applyAlignment="1" applyProtection="1"/>
    <xf numFmtId="0" fontId="0" fillId="0" borderId="0" xfId="0" applyFill="1" applyBorder="1"/>
    <xf numFmtId="0" fontId="21" fillId="0" borderId="0" xfId="47" applyAlignment="1" applyProtection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0" fillId="0" borderId="0" xfId="0" applyBorder="1"/>
    <xf numFmtId="0" fontId="1" fillId="0" borderId="0" xfId="0" applyFont="1"/>
    <xf numFmtId="3" fontId="0" fillId="0" borderId="0" xfId="0" applyNumberFormat="1"/>
    <xf numFmtId="0" fontId="2" fillId="0" borderId="0" xfId="44" applyFont="1" applyFill="1" applyBorder="1" applyAlignment="1">
      <alignment horizontal="right" wrapText="1"/>
    </xf>
    <xf numFmtId="2" fontId="0" fillId="0" borderId="0" xfId="0" applyNumberFormat="1"/>
    <xf numFmtId="0" fontId="0" fillId="0" borderId="0" xfId="0"/>
    <xf numFmtId="0" fontId="1" fillId="0" borderId="0" xfId="0" applyFont="1"/>
    <xf numFmtId="3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64" fontId="0" fillId="33" borderId="0" xfId="0" applyNumberFormat="1" applyFill="1"/>
    <xf numFmtId="0" fontId="24" fillId="0" borderId="0" xfId="0" applyFont="1"/>
    <xf numFmtId="0" fontId="25" fillId="0" borderId="0" xfId="0" applyFont="1"/>
    <xf numFmtId="3" fontId="2" fillId="0" borderId="0" xfId="44" applyNumberFormat="1" applyFont="1" applyFill="1" applyBorder="1" applyAlignment="1">
      <alignment horizontal="right" wrapText="1"/>
    </xf>
    <xf numFmtId="164" fontId="0" fillId="0" borderId="0" xfId="0" applyNumberFormat="1" applyFill="1"/>
    <xf numFmtId="0" fontId="1" fillId="0" borderId="0" xfId="0" applyFont="1" applyFill="1"/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33" borderId="0" xfId="0" applyFill="1"/>
    <xf numFmtId="164" fontId="0" fillId="33" borderId="0" xfId="0" applyNumberFormat="1" applyFill="1"/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0" fillId="0" borderId="0" xfId="0"/>
    <xf numFmtId="0" fontId="1" fillId="0" borderId="0" xfId="0" applyFont="1"/>
    <xf numFmtId="3" fontId="0" fillId="0" borderId="0" xfId="0" applyNumberFormat="1"/>
    <xf numFmtId="2" fontId="0" fillId="0" borderId="0" xfId="0" applyNumberFormat="1"/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58">
    <cellStyle name="20% - Accent1" xfId="21" builtinId="30" customBuiltin="1"/>
    <cellStyle name="20% - Accent1 2" xfId="49"/>
    <cellStyle name="20% - Accent2" xfId="25" builtinId="34" customBuiltin="1"/>
    <cellStyle name="20% - Accent2 2" xfId="50"/>
    <cellStyle name="20% - Accent3" xfId="29" builtinId="38" customBuiltin="1"/>
    <cellStyle name="20% - Accent3 2" xfId="51"/>
    <cellStyle name="20% - Accent4" xfId="33" builtinId="42" customBuiltin="1"/>
    <cellStyle name="20% - Accent4 2" xfId="52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3 2" xfId="53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3 2" xfId="54"/>
    <cellStyle name="60% - Accent4" xfId="35" builtinId="44" customBuiltin="1"/>
    <cellStyle name="60% - Accent4 2" xfId="55"/>
    <cellStyle name="60% - Accent5" xfId="39" builtinId="48" customBuiltin="1"/>
    <cellStyle name="60% - Accent6" xfId="43" builtinId="52" customBuiltin="1"/>
    <cellStyle name="60% - Accent6 2" xfId="56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45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7" builtinId="8"/>
    <cellStyle name="Hyperlink 2" xfId="4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/>
    <cellStyle name="Normal 3" xfId="46"/>
    <cellStyle name="Normal_FishStockDB" xfId="44"/>
    <cellStyle name="Normal_Sheet1" xfId="1"/>
    <cellStyle name="Note" xfId="17" builtinId="10" customBuiltin="1"/>
    <cellStyle name="Note 2" xfId="57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80872071376367E-2"/>
          <c:y val="6.5289442986293383E-2"/>
          <c:w val="0.85525164214368121"/>
          <c:h val="0.77921498130490696"/>
        </c:manualLayout>
      </c:layout>
      <c:scatterChart>
        <c:scatterStyle val="lineMarker"/>
        <c:varyColors val="0"/>
        <c:ser>
          <c:idx val="0"/>
          <c:order val="0"/>
          <c:tx>
            <c:v>Lopt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19050">
                <a:solidFill>
                  <a:schemeClr val="tx1"/>
                </a:solidFill>
              </a:ln>
            </c:spPr>
          </c:marker>
          <c:xVal>
            <c:numRef>
              <c:f>Summary!$I$3:$I$12</c:f>
              <c:numCache>
                <c:formatCode>0.0</c:formatCode>
                <c:ptCount val="10"/>
                <c:pt idx="0">
                  <c:v>10.983050847457628</c:v>
                </c:pt>
                <c:pt idx="1">
                  <c:v>18.188372093023254</c:v>
                </c:pt>
                <c:pt idx="2">
                  <c:v>19.31111111111111</c:v>
                </c:pt>
                <c:pt idx="3">
                  <c:v>79.322033898305094</c:v>
                </c:pt>
                <c:pt idx="4">
                  <c:v>43.2</c:v>
                </c:pt>
                <c:pt idx="5">
                  <c:v>84.610169491525426</c:v>
                </c:pt>
                <c:pt idx="6">
                  <c:v>21.056603773584904</c:v>
                </c:pt>
                <c:pt idx="7">
                  <c:v>85.271186440677965</c:v>
                </c:pt>
                <c:pt idx="8">
                  <c:v>30.083333333333332</c:v>
                </c:pt>
              </c:numCache>
            </c:numRef>
          </c:xVal>
          <c:yVal>
            <c:numRef>
              <c:f>Summary!$J$3:$J$12</c:f>
              <c:numCache>
                <c:formatCode>0.0</c:formatCode>
                <c:ptCount val="10"/>
                <c:pt idx="0">
                  <c:v>9.6</c:v>
                </c:pt>
                <c:pt idx="1">
                  <c:v>15.799999999999999</c:v>
                </c:pt>
                <c:pt idx="2">
                  <c:v>15.799999999999999</c:v>
                </c:pt>
                <c:pt idx="3">
                  <c:v>80</c:v>
                </c:pt>
                <c:pt idx="4">
                  <c:v>34.799999999999997</c:v>
                </c:pt>
                <c:pt idx="5">
                  <c:v>85.333333333333329</c:v>
                </c:pt>
                <c:pt idx="6">
                  <c:v>20.666666666666664</c:v>
                </c:pt>
                <c:pt idx="7">
                  <c:v>86</c:v>
                </c:pt>
                <c:pt idx="8">
                  <c:v>25.333333333333332</c:v>
                </c:pt>
              </c:numCache>
            </c:numRef>
          </c:yVal>
          <c:smooth val="0"/>
        </c:ser>
        <c:ser>
          <c:idx val="1"/>
          <c:order val="1"/>
          <c:tx>
            <c:v>01:01</c:v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Graphs!$A$2:$A$3</c:f>
              <c:numCache>
                <c:formatCode>General</c:formatCode>
                <c:ptCount val="2"/>
                <c:pt idx="0">
                  <c:v>0</c:v>
                </c:pt>
                <c:pt idx="1">
                  <c:v>90</c:v>
                </c:pt>
              </c:numCache>
            </c:numRef>
          </c:xVal>
          <c:yVal>
            <c:numRef>
              <c:f>Graphs!$B$2:$B$3</c:f>
              <c:numCache>
                <c:formatCode>General</c:formatCode>
                <c:ptCount val="2"/>
                <c:pt idx="0">
                  <c:v>0</c:v>
                </c:pt>
                <c:pt idx="1">
                  <c:v>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74976"/>
        <c:axId val="161777152"/>
      </c:scatterChart>
      <c:valAx>
        <c:axId val="16177497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L</a:t>
                </a:r>
                <a:r>
                  <a:rPr lang="en-US" i="1" baseline="-25000"/>
                  <a:t>opt</a:t>
                </a:r>
                <a:r>
                  <a:rPr lang="en-US"/>
                  <a:t> as</a:t>
                </a:r>
                <a:r>
                  <a:rPr lang="en-US" baseline="0"/>
                  <a:t> function of</a:t>
                </a:r>
                <a:r>
                  <a:rPr lang="en-US"/>
                  <a:t> </a:t>
                </a:r>
                <a:r>
                  <a:rPr lang="en-US" i="1"/>
                  <a:t>K</a:t>
                </a:r>
                <a:r>
                  <a:rPr lang="en-US"/>
                  <a:t> &amp; </a:t>
                </a:r>
                <a:r>
                  <a:rPr lang="en-US" i="1"/>
                  <a:t>M</a:t>
                </a:r>
                <a:r>
                  <a:rPr lang="en-US"/>
                  <a:t> (cm)</a:t>
                </a:r>
              </a:p>
            </c:rich>
          </c:tx>
          <c:overlay val="0"/>
        </c:title>
        <c:numFmt formatCode="0" sourceLinked="0"/>
        <c:majorTickMark val="out"/>
        <c:minorTickMark val="out"/>
        <c:tickLblPos val="nextTo"/>
        <c:crossAx val="161777152"/>
        <c:crosses val="autoZero"/>
        <c:crossBetween val="midCat"/>
        <c:majorUnit val="20"/>
        <c:minorUnit val="10"/>
      </c:valAx>
      <c:valAx>
        <c:axId val="1617771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L</a:t>
                </a:r>
                <a:r>
                  <a:rPr lang="en-US" i="1" baseline="-25000"/>
                  <a:t>opt</a:t>
                </a:r>
                <a:r>
                  <a:rPr lang="en-US"/>
                  <a:t> = 2/3 </a:t>
                </a:r>
                <a:r>
                  <a:rPr lang="en-US" i="1"/>
                  <a:t>L</a:t>
                </a:r>
                <a:r>
                  <a:rPr lang="en-US" i="1" baseline="-25000"/>
                  <a:t>∞</a:t>
                </a:r>
                <a:r>
                  <a:rPr lang="en-US" i="1"/>
                  <a:t> </a:t>
                </a:r>
                <a:r>
                  <a:rPr lang="en-US" i="0"/>
                  <a:t>(cm)</a:t>
                </a:r>
              </a:p>
            </c:rich>
          </c:tx>
          <c:overlay val="0"/>
        </c:title>
        <c:numFmt formatCode="0" sourceLinked="0"/>
        <c:majorTickMark val="out"/>
        <c:minorTickMark val="out"/>
        <c:tickLblPos val="nextTo"/>
        <c:crossAx val="16177497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'Cod-arct'!$L$5:$L$32</c:f>
              <c:numCache>
                <c:formatCode>General</c:formatCode>
                <c:ptCount val="2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</c:numCache>
            </c:numRef>
          </c:cat>
          <c:val>
            <c:numRef>
              <c:f>'Cod-arct'!$N$5:$N$32</c:f>
              <c:numCache>
                <c:formatCode>General</c:formatCode>
                <c:ptCount val="28"/>
                <c:pt idx="0">
                  <c:v>56357</c:v>
                </c:pt>
                <c:pt idx="1">
                  <c:v>225433</c:v>
                </c:pt>
                <c:pt idx="2">
                  <c:v>420627</c:v>
                </c:pt>
                <c:pt idx="3">
                  <c:v>333245</c:v>
                </c:pt>
                <c:pt idx="4">
                  <c:v>61375</c:v>
                </c:pt>
                <c:pt idx="5">
                  <c:v>187219</c:v>
                </c:pt>
                <c:pt idx="6">
                  <c:v>69218</c:v>
                </c:pt>
                <c:pt idx="7">
                  <c:v>20553</c:v>
                </c:pt>
                <c:pt idx="8">
                  <c:v>36783</c:v>
                </c:pt>
                <c:pt idx="9">
                  <c:v>64640</c:v>
                </c:pt>
                <c:pt idx="10">
                  <c:v>0</c:v>
                </c:pt>
                <c:pt idx="11">
                  <c:v>37200</c:v>
                </c:pt>
                <c:pt idx="12">
                  <c:v>5868</c:v>
                </c:pt>
                <c:pt idx="13">
                  <c:v>9383</c:v>
                </c:pt>
                <c:pt idx="14">
                  <c:v>2531</c:v>
                </c:pt>
                <c:pt idx="15">
                  <c:v>6401</c:v>
                </c:pt>
                <c:pt idx="16">
                  <c:v>8845</c:v>
                </c:pt>
                <c:pt idx="17">
                  <c:v>1475</c:v>
                </c:pt>
                <c:pt idx="18">
                  <c:v>562</c:v>
                </c:pt>
                <c:pt idx="19">
                  <c:v>740</c:v>
                </c:pt>
                <c:pt idx="20">
                  <c:v>600</c:v>
                </c:pt>
                <c:pt idx="21">
                  <c:v>273</c:v>
                </c:pt>
                <c:pt idx="22">
                  <c:v>100</c:v>
                </c:pt>
                <c:pt idx="23">
                  <c:v>12.02</c:v>
                </c:pt>
                <c:pt idx="24">
                  <c:v>0</c:v>
                </c:pt>
                <c:pt idx="25">
                  <c:v>538</c:v>
                </c:pt>
                <c:pt idx="26">
                  <c:v>81</c:v>
                </c:pt>
                <c:pt idx="27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4448"/>
        <c:axId val="162026240"/>
      </c:barChart>
      <c:catAx>
        <c:axId val="16202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026240"/>
        <c:crosses val="autoZero"/>
        <c:auto val="1"/>
        <c:lblAlgn val="ctr"/>
        <c:lblOffset val="100"/>
        <c:noMultiLvlLbl val="0"/>
      </c:catAx>
      <c:valAx>
        <c:axId val="162026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02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03303548805034"/>
          <c:y val="6.5289442986293383E-2"/>
          <c:w val="0.79149945737657112"/>
          <c:h val="0.73111699472196501"/>
        </c:manualLayout>
      </c:layout>
      <c:scatterChart>
        <c:scatterStyle val="lineMarker"/>
        <c:varyColors val="0"/>
        <c:ser>
          <c:idx val="1"/>
          <c:order val="0"/>
          <c:tx>
            <c:v>01:01</c:v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Graphs!$I$2:$I$3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Graphs!$J$2:$J$3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  <c:smooth val="0"/>
        </c:ser>
        <c:ser>
          <c:idx val="2"/>
          <c:order val="1"/>
          <c:tx>
            <c:v>L(F=M)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19050">
                <a:solidFill>
                  <a:schemeClr val="tx1"/>
                </a:solidFill>
              </a:ln>
            </c:spPr>
          </c:marker>
          <c:xVal>
            <c:numRef>
              <c:f>Summary!$M$3:$M$12</c:f>
              <c:numCache>
                <c:formatCode>0.0</c:formatCode>
                <c:ptCount val="10"/>
                <c:pt idx="0">
                  <c:v>10.574225908434391</c:v>
                </c:pt>
                <c:pt idx="1">
                  <c:v>14.434196695959223</c:v>
                </c:pt>
                <c:pt idx="2">
                  <c:v>16.171497620624582</c:v>
                </c:pt>
                <c:pt idx="3">
                  <c:v>56.643338917576997</c:v>
                </c:pt>
                <c:pt idx="4">
                  <c:v>33.123977709489203</c:v>
                </c:pt>
                <c:pt idx="5">
                  <c:v>63.968108743729971</c:v>
                </c:pt>
                <c:pt idx="6">
                  <c:v>15.400030339408522</c:v>
                </c:pt>
                <c:pt idx="7">
                  <c:v>61.920046901894729</c:v>
                </c:pt>
                <c:pt idx="8">
                  <c:v>24.926962238338209</c:v>
                </c:pt>
              </c:numCache>
            </c:numRef>
          </c:xVal>
          <c:yVal>
            <c:numRef>
              <c:f>Summary!$N$3:$N$12</c:f>
              <c:numCache>
                <c:formatCode>0.0</c:formatCode>
                <c:ptCount val="10"/>
                <c:pt idx="0">
                  <c:v>9.9935280552503247</c:v>
                </c:pt>
                <c:pt idx="1">
                  <c:v>12.928503659052598</c:v>
                </c:pt>
                <c:pt idx="2">
                  <c:v>13.912946906811953</c:v>
                </c:pt>
                <c:pt idx="3">
                  <c:v>57.039318049342135</c:v>
                </c:pt>
                <c:pt idx="4">
                  <c:v>26.447369907810423</c:v>
                </c:pt>
                <c:pt idx="5">
                  <c:v>64.368308064081646</c:v>
                </c:pt>
                <c:pt idx="6">
                  <c:v>15.170619020870415</c:v>
                </c:pt>
                <c:pt idx="7">
                  <c:v>62.339296608757891</c:v>
                </c:pt>
                <c:pt idx="8">
                  <c:v>21.985528741964309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98400"/>
        <c:axId val="162611968"/>
      </c:scatterChart>
      <c:valAx>
        <c:axId val="161798400"/>
        <c:scaling>
          <c:orientation val="minMax"/>
          <c:max val="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L</a:t>
                </a:r>
                <a:r>
                  <a:rPr lang="en-US" i="1" baseline="-25000"/>
                  <a:t>(F=M)</a:t>
                </a:r>
                <a:r>
                  <a:rPr lang="en-US"/>
                  <a:t> as function of </a:t>
                </a:r>
                <a:r>
                  <a:rPr lang="en-US" i="1"/>
                  <a:t>K</a:t>
                </a:r>
                <a:r>
                  <a:rPr lang="en-US"/>
                  <a:t> &amp; </a:t>
                </a:r>
                <a:r>
                  <a:rPr lang="en-US" i="1"/>
                  <a:t>M</a:t>
                </a:r>
                <a:r>
                  <a:rPr lang="en-US"/>
                  <a:t> (cm)</a:t>
                </a:r>
              </a:p>
            </c:rich>
          </c:tx>
          <c:layout>
            <c:manualLayout>
              <c:xMode val="edge"/>
              <c:yMode val="edge"/>
              <c:x val="0.40941822162940017"/>
              <c:y val="0.89282834507951481"/>
            </c:manualLayout>
          </c:layout>
          <c:overlay val="0"/>
        </c:title>
        <c:numFmt formatCode="0" sourceLinked="0"/>
        <c:majorTickMark val="out"/>
        <c:minorTickMark val="out"/>
        <c:tickLblPos val="nextTo"/>
        <c:crossAx val="162611968"/>
        <c:crosses val="autoZero"/>
        <c:crossBetween val="midCat"/>
        <c:majorUnit val="20"/>
        <c:minorUnit val="10"/>
      </c:valAx>
      <c:valAx>
        <c:axId val="162611968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L</a:t>
                </a:r>
                <a:r>
                  <a:rPr lang="en-US" i="1" baseline="-25000"/>
                  <a:t>(F=M)</a:t>
                </a:r>
                <a:r>
                  <a:rPr lang="en-US" i="1"/>
                  <a:t> </a:t>
                </a:r>
                <a:r>
                  <a:rPr lang="en-US"/>
                  <a:t>assuming  </a:t>
                </a:r>
                <a:r>
                  <a:rPr lang="en-US" i="1"/>
                  <a:t>K/M = </a:t>
                </a:r>
                <a:r>
                  <a:rPr lang="en-US" sz="1000" b="1" i="0" u="none" strike="noStrike" baseline="0">
                    <a:effectLst/>
                  </a:rPr>
                  <a:t>2/3</a:t>
                </a:r>
                <a:r>
                  <a:rPr lang="en-US" i="1"/>
                  <a:t> </a:t>
                </a:r>
                <a:r>
                  <a:rPr lang="en-US" i="0"/>
                  <a:t>(cm)</a:t>
                </a:r>
              </a:p>
            </c:rich>
          </c:tx>
          <c:layout>
            <c:manualLayout>
              <c:xMode val="edge"/>
              <c:yMode val="edge"/>
              <c:x val="4.4304844408110187E-2"/>
              <c:y val="0.18143839365947206"/>
            </c:manualLayout>
          </c:layout>
          <c:overlay val="0"/>
        </c:title>
        <c:numFmt formatCode="0" sourceLinked="0"/>
        <c:majorTickMark val="out"/>
        <c:minorTickMark val="out"/>
        <c:tickLblPos val="nextTo"/>
        <c:crossAx val="16179840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562953054686"/>
          <c:y val="6.5289502363606422E-2"/>
          <c:w val="0.85525164214368121"/>
          <c:h val="0.77921498130490696"/>
        </c:manualLayout>
      </c:layout>
      <c:scatterChart>
        <c:scatterStyle val="lineMarker"/>
        <c:varyColors val="0"/>
        <c:ser>
          <c:idx val="1"/>
          <c:order val="0"/>
          <c:tx>
            <c:v>01:01</c:v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dLbls>
            <c:delete val="1"/>
          </c:dLbls>
          <c:xVal>
            <c:numRef>
              <c:f>Graphs!$A$19:$A$20</c:f>
              <c:numCache>
                <c:formatCode>General</c:formatCode>
                <c:ptCount val="2"/>
                <c:pt idx="0">
                  <c:v>0</c:v>
                </c:pt>
                <c:pt idx="1">
                  <c:v>0.35</c:v>
                </c:pt>
              </c:numCache>
            </c:numRef>
          </c:xVal>
          <c:yVal>
            <c:numRef>
              <c:f>Graphs!$B$19:$B$20</c:f>
              <c:numCache>
                <c:formatCode>General</c:formatCode>
                <c:ptCount val="2"/>
                <c:pt idx="0">
                  <c:v>0</c:v>
                </c:pt>
                <c:pt idx="1">
                  <c:v>0.35</c:v>
                </c:pt>
              </c:numCache>
            </c:numRef>
          </c:yVal>
          <c:smooth val="0"/>
        </c:ser>
        <c:ser>
          <c:idx val="0"/>
          <c:order val="1"/>
          <c:tx>
            <c:v>Fmsy/M</c:v>
          </c:tx>
          <c:spPr>
            <a:ln>
              <a:noFill/>
            </a:ln>
          </c:spPr>
          <c:marker>
            <c:symbol val="circle"/>
            <c:size val="7"/>
            <c:spPr>
              <a:noFill/>
              <a:ln w="19050">
                <a:solidFill>
                  <a:schemeClr val="tx1"/>
                </a:solidFill>
              </a:ln>
            </c:spPr>
          </c:marker>
          <c:dLbls>
            <c:delete val="1"/>
          </c:dLbls>
          <c:xVal>
            <c:numRef>
              <c:f>Summary!$C$3:$C$12</c:f>
              <c:numCache>
                <c:formatCode>General</c:formatCode>
                <c:ptCount val="10"/>
                <c:pt idx="0">
                  <c:v>0.28000000000000003</c:v>
                </c:pt>
                <c:pt idx="1">
                  <c:v>0.2</c:v>
                </c:pt>
                <c:pt idx="2">
                  <c:v>0.15</c:v>
                </c:pt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  <c:pt idx="6">
                  <c:v>0.34</c:v>
                </c:pt>
                <c:pt idx="7">
                  <c:v>0.2</c:v>
                </c:pt>
                <c:pt idx="8">
                  <c:v>0.15</c:v>
                </c:pt>
              </c:numCache>
            </c:numRef>
          </c:xVal>
          <c:yVal>
            <c:numRef>
              <c:f>Summary!$D$3:$D$12</c:f>
              <c:numCache>
                <c:formatCode>General</c:formatCode>
                <c:ptCount val="10"/>
                <c:pt idx="0">
                  <c:v>0.35</c:v>
                </c:pt>
                <c:pt idx="1">
                  <c:v>0.19</c:v>
                </c:pt>
                <c:pt idx="3">
                  <c:v>0.3</c:v>
                </c:pt>
                <c:pt idx="4">
                  <c:v>0.25</c:v>
                </c:pt>
                <c:pt idx="5">
                  <c:v>0.3</c:v>
                </c:pt>
                <c:pt idx="6">
                  <c:v>0.25</c:v>
                </c:pt>
                <c:pt idx="7">
                  <c:v>0.4</c:v>
                </c:pt>
                <c:pt idx="8">
                  <c:v>0.15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2637312"/>
        <c:axId val="162643968"/>
      </c:scatterChart>
      <c:valAx>
        <c:axId val="162637312"/>
        <c:scaling>
          <c:orientation val="minMax"/>
          <c:max val="0.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M</a:t>
                </a:r>
                <a:r>
                  <a:rPr lang="en-US"/>
                  <a:t> (1/year)</a:t>
                </a:r>
              </a:p>
            </c:rich>
          </c:tx>
          <c:overlay val="0"/>
        </c:title>
        <c:numFmt formatCode="0.0" sourceLinked="0"/>
        <c:majorTickMark val="out"/>
        <c:minorTickMark val="out"/>
        <c:tickLblPos val="nextTo"/>
        <c:crossAx val="162643968"/>
        <c:crosses val="autoZero"/>
        <c:crossBetween val="midCat"/>
        <c:majorUnit val="0.1"/>
        <c:minorUnit val="5.000000000000001E-2"/>
      </c:valAx>
      <c:valAx>
        <c:axId val="162643968"/>
        <c:scaling>
          <c:orientation val="minMax"/>
          <c:max val="0.4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F</a:t>
                </a:r>
                <a:r>
                  <a:rPr lang="en-US" i="1" baseline="-25000"/>
                  <a:t>msy</a:t>
                </a:r>
                <a:r>
                  <a:rPr lang="en-US" i="1"/>
                  <a:t>  </a:t>
                </a:r>
                <a:r>
                  <a:rPr lang="en-US" i="0"/>
                  <a:t>(1/year)</a:t>
                </a:r>
              </a:p>
            </c:rich>
          </c:tx>
          <c:overlay val="0"/>
        </c:title>
        <c:numFmt formatCode="0.0" sourceLinked="0"/>
        <c:majorTickMark val="out"/>
        <c:minorTickMark val="out"/>
        <c:tickLblPos val="nextTo"/>
        <c:crossAx val="162637312"/>
        <c:crosses val="autoZero"/>
        <c:crossBetween val="midCat"/>
        <c:majorUnit val="0.1"/>
        <c:min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43963254593173E-2"/>
          <c:y val="5.1941612561587698E-2"/>
          <c:w val="0.87986570428696409"/>
          <c:h val="0.80454171846940181"/>
        </c:manualLayout>
      </c:layout>
      <c:scatterChart>
        <c:scatterStyle val="lineMarker"/>
        <c:varyColors val="0"/>
        <c:ser>
          <c:idx val="9"/>
          <c:order val="0"/>
          <c:tx>
            <c:strRef>
              <c:f>Summary!$B$2</c:f>
              <c:strCache>
                <c:ptCount val="1"/>
                <c:pt idx="0">
                  <c:v>cod-347d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Summary!$P$2</c:f>
              <c:numCache>
                <c:formatCode>0.0</c:formatCode>
                <c:ptCount val="1"/>
                <c:pt idx="0">
                  <c:v>3.4428571428571426</c:v>
                </c:pt>
              </c:numCache>
            </c:numRef>
          </c:xVal>
          <c:yVal>
            <c:numRef>
              <c:f>Summary!$A$2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Summary!$B$3</c:f>
              <c:strCache>
                <c:ptCount val="1"/>
                <c:pt idx="0">
                  <c:v>spr-2232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Summary!$P$3</c:f>
              <c:numCache>
                <c:formatCode>0.0</c:formatCode>
                <c:ptCount val="1"/>
                <c:pt idx="0">
                  <c:v>1.1075510204081631</c:v>
                </c:pt>
              </c:numCache>
            </c:numRef>
          </c:xVal>
          <c:yVal>
            <c:numRef>
              <c:f>Summary!$A$3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Summary!$B$4</c:f>
              <c:strCache>
                <c:ptCount val="1"/>
                <c:pt idx="0">
                  <c:v>her-30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Summary!$P$4</c:f>
              <c:numCache>
                <c:formatCode>0.0</c:formatCode>
                <c:ptCount val="1"/>
                <c:pt idx="0">
                  <c:v>0.72421052631578942</c:v>
                </c:pt>
              </c:numCache>
            </c:numRef>
          </c:xVal>
          <c:yVal>
            <c:numRef>
              <c:f>Summary!$A$4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Summary!$B$5</c:f>
              <c:strCache>
                <c:ptCount val="1"/>
                <c:pt idx="0">
                  <c:v>her-31</c:v>
                </c:pt>
              </c:strCache>
            </c:strRef>
          </c:tx>
          <c:spPr>
            <a:ln w="28575">
              <a:noFill/>
            </a:ln>
          </c:spPr>
          <c:xVal>
            <c:numRef>
              <c:f>Summary!$P$5</c:f>
              <c:numCache>
                <c:formatCode>0.0</c:formatCode>
                <c:ptCount val="1"/>
              </c:numCache>
            </c:numRef>
          </c:xVal>
          <c:yVal>
            <c:numRef>
              <c:f>Summary!$A$5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Summary!$B$6</c:f>
              <c:strCache>
                <c:ptCount val="1"/>
                <c:pt idx="0">
                  <c:v>cod-2532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Summary!$P$6</c:f>
              <c:numCache>
                <c:formatCode>0.0</c:formatCode>
                <c:ptCount val="1"/>
                <c:pt idx="0">
                  <c:v>1.5909523809523811</c:v>
                </c:pt>
              </c:numCache>
            </c:numRef>
          </c:xVal>
          <c:yVal>
            <c:numRef>
              <c:f>Summary!$A$6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Summary!$B$7</c:f>
              <c:strCache>
                <c:ptCount val="1"/>
                <c:pt idx="0">
                  <c:v>ple-nsea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Summary!$P$7</c:f>
              <c:numCache>
                <c:formatCode>0.0</c:formatCode>
                <c:ptCount val="1"/>
                <c:pt idx="0">
                  <c:v>1.1428571428571428</c:v>
                </c:pt>
              </c:numCache>
            </c:numRef>
          </c:xVal>
          <c:yVal>
            <c:numRef>
              <c:f>Summary!$A$7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Summary!$B$8</c:f>
              <c:strCache>
                <c:ptCount val="1"/>
                <c:pt idx="0">
                  <c:v>sai-nsea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Summary!$P$8</c:f>
              <c:numCache>
                <c:formatCode>0.0</c:formatCode>
                <c:ptCount val="1"/>
                <c:pt idx="0">
                  <c:v>0.98714285714285721</c:v>
                </c:pt>
              </c:numCache>
            </c:numRef>
          </c:xVal>
          <c:yVal>
            <c:numRef>
              <c:f>Summary!$A$8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Summary!$B$9</c:f>
              <c:strCache>
                <c:ptCount val="1"/>
                <c:pt idx="0">
                  <c:v>her-nsea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Summary!$P$9</c:f>
              <c:numCache>
                <c:formatCode>0.0</c:formatCode>
                <c:ptCount val="1"/>
                <c:pt idx="0">
                  <c:v>0.60759999999999992</c:v>
                </c:pt>
              </c:numCache>
            </c:numRef>
          </c:xVal>
          <c:yVal>
            <c:numRef>
              <c:f>Summary!$A$9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6"/>
          <c:order val="8"/>
          <c:tx>
            <c:strRef>
              <c:f>Summary!$B$10</c:f>
              <c:strCache>
                <c:ptCount val="1"/>
                <c:pt idx="0">
                  <c:v>cod-arct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Summary!$P$10</c:f>
              <c:numCache>
                <c:formatCode>0.0</c:formatCode>
                <c:ptCount val="1"/>
                <c:pt idx="0">
                  <c:v>0.95950000000000002</c:v>
                </c:pt>
              </c:numCache>
            </c:numRef>
          </c:xVal>
          <c:yVal>
            <c:numRef>
              <c:f>Summary!$A$10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7"/>
          <c:order val="9"/>
          <c:tx>
            <c:strRef>
              <c:f>Summary!$B$11</c:f>
              <c:strCache>
                <c:ptCount val="1"/>
                <c:pt idx="0">
                  <c:v>her-noss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Summary!$P$11</c:f>
              <c:numCache>
                <c:formatCode>0.0</c:formatCode>
                <c:ptCount val="1"/>
                <c:pt idx="0">
                  <c:v>0.96888888888888902</c:v>
                </c:pt>
              </c:numCache>
            </c:numRef>
          </c:xVal>
          <c:yVal>
            <c:numRef>
              <c:f>Summary!$A$11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681216"/>
        <c:axId val="162683136"/>
      </c:scatterChart>
      <c:valAx>
        <c:axId val="16268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F</a:t>
                </a:r>
                <a:r>
                  <a:rPr lang="en-US" baseline="-25000"/>
                  <a:t>mean 2005ff</a:t>
                </a:r>
                <a:r>
                  <a:rPr lang="en-US"/>
                  <a:t> / </a:t>
                </a:r>
                <a:r>
                  <a:rPr lang="en-US" i="1"/>
                  <a:t>F</a:t>
                </a:r>
                <a:r>
                  <a:rPr lang="en-US" i="1" baseline="-25000"/>
                  <a:t>msy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62683136"/>
        <c:crossesAt val="0"/>
        <c:crossBetween val="midCat"/>
      </c:valAx>
      <c:valAx>
        <c:axId val="162683136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62681216"/>
        <c:crosses val="autoZero"/>
        <c:crossBetween val="midCat"/>
        <c:majorUnit val="1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43963254593173E-2"/>
          <c:y val="5.1941612561587698E-2"/>
          <c:w val="0.87986570428696409"/>
          <c:h val="0.80454171846940181"/>
        </c:manualLayout>
      </c:layout>
      <c:scatterChart>
        <c:scatterStyle val="lineMarker"/>
        <c:varyColors val="0"/>
        <c:ser>
          <c:idx val="0"/>
          <c:order val="0"/>
          <c:tx>
            <c:strRef>
              <c:f>Summary!$B$3</c:f>
              <c:strCache>
                <c:ptCount val="1"/>
                <c:pt idx="0">
                  <c:v>spr-2232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Summary!$U$3</c:f>
              <c:numCache>
                <c:formatCode>0.0</c:formatCode>
                <c:ptCount val="1"/>
                <c:pt idx="0">
                  <c:v>1.0889184906092471</c:v>
                </c:pt>
              </c:numCache>
            </c:numRef>
          </c:xVal>
          <c:yVal>
            <c:numRef>
              <c:f>Summary!$A$3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Summary!$B$4</c:f>
              <c:strCache>
                <c:ptCount val="1"/>
                <c:pt idx="0">
                  <c:v>her-30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Summary!$U$4</c:f>
              <c:numCache>
                <c:formatCode>0.0</c:formatCode>
                <c:ptCount val="1"/>
                <c:pt idx="0">
                  <c:v>1.196580241551539</c:v>
                </c:pt>
              </c:numCache>
            </c:numRef>
          </c:xVal>
          <c:yVal>
            <c:numRef>
              <c:f>Summary!$A$4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Summary!$B$5</c:f>
              <c:strCache>
                <c:ptCount val="1"/>
                <c:pt idx="0">
                  <c:v>her-31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Summary!$U$5</c:f>
              <c:numCache>
                <c:formatCode>0.0</c:formatCode>
                <c:ptCount val="1"/>
                <c:pt idx="0">
                  <c:v>1.0924786279455403</c:v>
                </c:pt>
              </c:numCache>
            </c:numRef>
          </c:xVal>
          <c:yVal>
            <c:numRef>
              <c:f>Summary!$A$5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Summary!$B$6</c:f>
              <c:strCache>
                <c:ptCount val="1"/>
                <c:pt idx="0">
                  <c:v>cod-2532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Summary!$U$6</c:f>
              <c:numCache>
                <c:formatCode>0.0</c:formatCode>
                <c:ptCount val="1"/>
                <c:pt idx="0">
                  <c:v>0.80696991543958141</c:v>
                </c:pt>
              </c:numCache>
            </c:numRef>
          </c:xVal>
          <c:yVal>
            <c:numRef>
              <c:f>Summary!$A$6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Summary!$B$7</c:f>
              <c:strCache>
                <c:ptCount val="1"/>
                <c:pt idx="0">
                  <c:v>ple-nsea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Summary!$U$7</c:f>
              <c:numCache>
                <c:formatCode>0.0</c:formatCode>
                <c:ptCount val="1"/>
                <c:pt idx="0">
                  <c:v>0.9731876023924545</c:v>
                </c:pt>
              </c:numCache>
            </c:numRef>
          </c:xVal>
          <c:yVal>
            <c:numRef>
              <c:f>Summary!$A$7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Summary!$B$8</c:f>
              <c:strCache>
                <c:ptCount val="1"/>
                <c:pt idx="0">
                  <c:v>sai-nsea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Summary!$U$8</c:f>
              <c:numCache>
                <c:formatCode>0.0</c:formatCode>
                <c:ptCount val="1"/>
                <c:pt idx="0">
                  <c:v>0.90267892388880666</c:v>
                </c:pt>
              </c:numCache>
            </c:numRef>
          </c:xVal>
          <c:yVal>
            <c:numRef>
              <c:f>Summary!$A$8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Summary!$B$10</c:f>
              <c:strCache>
                <c:ptCount val="1"/>
                <c:pt idx="0">
                  <c:v>cod-arct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Summary!$U$10</c:f>
              <c:numCache>
                <c:formatCode>0.0</c:formatCode>
                <c:ptCount val="1"/>
                <c:pt idx="0">
                  <c:v>0.99342757073650456</c:v>
                </c:pt>
              </c:numCache>
            </c:numRef>
          </c:xVal>
          <c:yVal>
            <c:numRef>
              <c:f>Summary!$A$10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Summary!$B$11</c:f>
              <c:strCache>
                <c:ptCount val="1"/>
                <c:pt idx="0">
                  <c:v>her-noss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Summary!$U$11</c:f>
              <c:numCache>
                <c:formatCode>0.0</c:formatCode>
                <c:ptCount val="1"/>
                <c:pt idx="0">
                  <c:v>1.5453051682501013</c:v>
                </c:pt>
              </c:numCache>
            </c:numRef>
          </c:xVal>
          <c:yVal>
            <c:numRef>
              <c:f>Summary!$A$11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Summary!$B$9</c:f>
              <c:strCache>
                <c:ptCount val="1"/>
                <c:pt idx="0">
                  <c:v>her-nsea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Summary!$U$9</c:f>
              <c:numCache>
                <c:formatCode>0.0</c:formatCode>
                <c:ptCount val="1"/>
                <c:pt idx="0">
                  <c:v>1.6049501265137844</c:v>
                </c:pt>
              </c:numCache>
            </c:numRef>
          </c:xVal>
          <c:yVal>
            <c:numRef>
              <c:f>Summary!$A$9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Summary!$B$2</c:f>
              <c:strCache>
                <c:ptCount val="1"/>
                <c:pt idx="0">
                  <c:v>cod-347d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Summary!$U$2</c:f>
              <c:numCache>
                <c:formatCode>0.0</c:formatCode>
                <c:ptCount val="1"/>
                <c:pt idx="0">
                  <c:v>0.93096810572031008</c:v>
                </c:pt>
              </c:numCache>
            </c:numRef>
          </c:xVal>
          <c:yVal>
            <c:numRef>
              <c:f>Summary!$A$2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30208"/>
        <c:axId val="162852864"/>
      </c:scatterChart>
      <c:valAx>
        <c:axId val="162830208"/>
        <c:scaling>
          <c:orientation val="minMax"/>
          <c:max val="1.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L</a:t>
                </a:r>
                <a:r>
                  <a:rPr lang="en-US" i="1" baseline="-25000"/>
                  <a:t>mean</a:t>
                </a:r>
                <a:r>
                  <a:rPr lang="en-US"/>
                  <a:t> / </a:t>
                </a:r>
                <a:r>
                  <a:rPr lang="en-US" i="1"/>
                  <a:t>L</a:t>
                </a:r>
                <a:r>
                  <a:rPr lang="en-US" baseline="-25000"/>
                  <a:t>(F=M)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62852864"/>
        <c:crosses val="autoZero"/>
        <c:crossBetween val="midCat"/>
        <c:majorUnit val="0.2"/>
      </c:valAx>
      <c:valAx>
        <c:axId val="162852864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62830208"/>
        <c:crosses val="autoZero"/>
        <c:crossBetween val="midCat"/>
        <c:majorUnit val="1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43963254593173E-2"/>
          <c:y val="5.1941612561587698E-2"/>
          <c:w val="0.87986570428696409"/>
          <c:h val="0.80454171846940181"/>
        </c:manualLayout>
      </c:layout>
      <c:scatterChart>
        <c:scatterStyle val="lineMarker"/>
        <c:varyColors val="0"/>
        <c:ser>
          <c:idx val="0"/>
          <c:order val="0"/>
          <c:tx>
            <c:strRef>
              <c:f>Summary!$B$3</c:f>
              <c:strCache>
                <c:ptCount val="1"/>
                <c:pt idx="0">
                  <c:v>spr-2232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Summary!$Q$3</c:f>
              <c:numCache>
                <c:formatCode>0.0</c:formatCode>
                <c:ptCount val="1"/>
                <c:pt idx="0">
                  <c:v>1.3844387755102037</c:v>
                </c:pt>
              </c:numCache>
            </c:numRef>
          </c:xVal>
          <c:yVal>
            <c:numRef>
              <c:f>Summary!$A$3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Summary!$B$4</c:f>
              <c:strCache>
                <c:ptCount val="1"/>
                <c:pt idx="0">
                  <c:v>her-30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Summary!$Q$4</c:f>
              <c:numCache>
                <c:formatCode>0.0</c:formatCode>
                <c:ptCount val="1"/>
                <c:pt idx="0">
                  <c:v>0.68799999999999994</c:v>
                </c:pt>
              </c:numCache>
            </c:numRef>
          </c:xVal>
          <c:yVal>
            <c:numRef>
              <c:f>Summary!$A$4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Summary!$B$5</c:f>
              <c:strCache>
                <c:ptCount val="1"/>
                <c:pt idx="0">
                  <c:v>her-31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Summary!$Q$5</c:f>
              <c:numCache>
                <c:formatCode>0.0</c:formatCode>
                <c:ptCount val="1"/>
                <c:pt idx="0">
                  <c:v>1.9955238095238097</c:v>
                </c:pt>
              </c:numCache>
            </c:numRef>
          </c:xVal>
          <c:yVal>
            <c:numRef>
              <c:f>Summary!$A$5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Summary!$B$6</c:f>
              <c:strCache>
                <c:ptCount val="1"/>
                <c:pt idx="0">
                  <c:v>cod-2532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Summary!$Q$6</c:f>
              <c:numCache>
                <c:formatCode>0.0</c:formatCode>
                <c:ptCount val="1"/>
                <c:pt idx="0">
                  <c:v>2.3864285714285716</c:v>
                </c:pt>
              </c:numCache>
            </c:numRef>
          </c:xVal>
          <c:yVal>
            <c:numRef>
              <c:f>Summary!$A$6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Summary!$B$7</c:f>
              <c:strCache>
                <c:ptCount val="1"/>
                <c:pt idx="0">
                  <c:v>ple-nsea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Summary!$Q$7</c:f>
              <c:numCache>
                <c:formatCode>0.0</c:formatCode>
                <c:ptCount val="1"/>
                <c:pt idx="0">
                  <c:v>2.8571428571428568</c:v>
                </c:pt>
              </c:numCache>
            </c:numRef>
          </c:xVal>
          <c:yVal>
            <c:numRef>
              <c:f>Summary!$A$7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Summary!$B$8</c:f>
              <c:strCache>
                <c:ptCount val="1"/>
                <c:pt idx="0">
                  <c:v>sai-nsea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Summary!$Q$8</c:f>
              <c:numCache>
                <c:formatCode>0.0</c:formatCode>
                <c:ptCount val="1"/>
                <c:pt idx="0">
                  <c:v>1.4807142857142856</c:v>
                </c:pt>
              </c:numCache>
            </c:numRef>
          </c:xVal>
          <c:yVal>
            <c:numRef>
              <c:f>Summary!$A$8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Summary!$B$10</c:f>
              <c:strCache>
                <c:ptCount val="1"/>
                <c:pt idx="0">
                  <c:v>cod-arct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Summary!$Q$10</c:f>
              <c:numCache>
                <c:formatCode>0.0</c:formatCode>
                <c:ptCount val="1"/>
                <c:pt idx="0">
                  <c:v>1.919</c:v>
                </c:pt>
              </c:numCache>
            </c:numRef>
          </c:xVal>
          <c:yVal>
            <c:numRef>
              <c:f>Summary!$A$10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Summary!$B$11</c:f>
              <c:strCache>
                <c:ptCount val="1"/>
                <c:pt idx="0">
                  <c:v>her-noss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Summary!$Q$11</c:f>
              <c:numCache>
                <c:formatCode>0.0</c:formatCode>
                <c:ptCount val="1"/>
                <c:pt idx="0">
                  <c:v>0.96888888888888902</c:v>
                </c:pt>
              </c:numCache>
            </c:numRef>
          </c:xVal>
          <c:yVal>
            <c:numRef>
              <c:f>Summary!$A$11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Summary!$B$9</c:f>
              <c:strCache>
                <c:ptCount val="1"/>
                <c:pt idx="0">
                  <c:v>her-nsea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Summary!$Q$9</c:f>
              <c:numCache>
                <c:formatCode>0.0</c:formatCode>
                <c:ptCount val="1"/>
                <c:pt idx="0">
                  <c:v>0.44676470588235284</c:v>
                </c:pt>
              </c:numCache>
            </c:numRef>
          </c:xVal>
          <c:yVal>
            <c:numRef>
              <c:f>Summary!$A$9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Summary!$B$2</c:f>
              <c:strCache>
                <c:ptCount val="1"/>
                <c:pt idx="0">
                  <c:v>cod-347d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Summary!$Q$2</c:f>
              <c:numCache>
                <c:formatCode>0.0</c:formatCode>
                <c:ptCount val="1"/>
                <c:pt idx="0">
                  <c:v>3.1149659863945578</c:v>
                </c:pt>
              </c:numCache>
            </c:numRef>
          </c:xVal>
          <c:yVal>
            <c:numRef>
              <c:f>Summary!$A$2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Summary!$B$2</c:f>
              <c:strCache>
                <c:ptCount val="1"/>
                <c:pt idx="0">
                  <c:v>cod-347d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Summary!$Q$2</c:f>
              <c:numCache>
                <c:formatCode>0.0</c:formatCode>
                <c:ptCount val="1"/>
                <c:pt idx="0">
                  <c:v>3.1149659863945578</c:v>
                </c:pt>
              </c:numCache>
            </c:numRef>
          </c:xVal>
          <c:yVal>
            <c:numRef>
              <c:f>Summary!$A$2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000320"/>
        <c:axId val="163002240"/>
      </c:scatterChart>
      <c:valAx>
        <c:axId val="163000320"/>
        <c:scaling>
          <c:orientation val="minMax"/>
          <c:max val="3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F</a:t>
                </a:r>
                <a:r>
                  <a:rPr lang="en-US" baseline="-25000"/>
                  <a:t>mean 2005ff</a:t>
                </a:r>
                <a:r>
                  <a:rPr lang="en-US"/>
                  <a:t> / </a:t>
                </a:r>
                <a:r>
                  <a:rPr lang="en-US" i="1"/>
                  <a:t>M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63002240"/>
        <c:crosses val="autoZero"/>
        <c:crossBetween val="midCat"/>
        <c:majorUnit val="0.5"/>
      </c:valAx>
      <c:valAx>
        <c:axId val="163002240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63000320"/>
        <c:crosses val="autoZero"/>
        <c:crossBetween val="midCat"/>
        <c:majorUnit val="1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43963254593173E-2"/>
          <c:y val="5.1941612561587698E-2"/>
          <c:w val="0.87986570428696409"/>
          <c:h val="0.80454171846940181"/>
        </c:manualLayout>
      </c:layout>
      <c:scatterChart>
        <c:scatterStyle val="lineMarker"/>
        <c:varyColors val="0"/>
        <c:ser>
          <c:idx val="9"/>
          <c:order val="0"/>
          <c:tx>
            <c:strRef>
              <c:f>Summary!$B$2</c:f>
              <c:strCache>
                <c:ptCount val="1"/>
                <c:pt idx="0">
                  <c:v>cod-347d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Summary!$R$2</c:f>
              <c:numCache>
                <c:formatCode>0.00</c:formatCode>
                <c:ptCount val="1"/>
                <c:pt idx="0">
                  <c:v>0.18309857142857142</c:v>
                </c:pt>
              </c:numCache>
            </c:numRef>
          </c:xVal>
          <c:yVal>
            <c:numRef>
              <c:f>Summary!$A$2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Summary!$B$3</c:f>
              <c:strCache>
                <c:ptCount val="1"/>
                <c:pt idx="0">
                  <c:v>spr-2232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Summary!$R$3</c:f>
              <c:numCache>
                <c:formatCode>General</c:formatCode>
                <c:ptCount val="1"/>
              </c:numCache>
            </c:numRef>
          </c:xVal>
          <c:yVal>
            <c:numRef>
              <c:f>Summary!$A$3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Summary!$B$4</c:f>
              <c:strCache>
                <c:ptCount val="1"/>
                <c:pt idx="0">
                  <c:v>her-30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Summary!$R$4</c:f>
              <c:numCache>
                <c:formatCode>General</c:formatCode>
                <c:ptCount val="1"/>
              </c:numCache>
            </c:numRef>
          </c:xVal>
          <c:yVal>
            <c:numRef>
              <c:f>Summary!$A$4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Summary!$B$5</c:f>
              <c:strCache>
                <c:ptCount val="1"/>
                <c:pt idx="0">
                  <c:v>her-31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Summary!$R$5</c:f>
              <c:numCache>
                <c:formatCode>General</c:formatCode>
                <c:ptCount val="1"/>
              </c:numCache>
            </c:numRef>
          </c:xVal>
          <c:yVal>
            <c:numRef>
              <c:f>Summary!$A$5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Summary!$B$6</c:f>
              <c:strCache>
                <c:ptCount val="1"/>
                <c:pt idx="0">
                  <c:v>cod-2532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Summary!$R$6</c:f>
              <c:numCache>
                <c:formatCode>General</c:formatCode>
                <c:ptCount val="1"/>
              </c:numCache>
            </c:numRef>
          </c:xVal>
          <c:yVal>
            <c:numRef>
              <c:f>Summary!$A$6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Summary!$B$7</c:f>
              <c:strCache>
                <c:ptCount val="1"/>
                <c:pt idx="0">
                  <c:v>ple-nsea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Summary!$R$7</c:f>
              <c:numCache>
                <c:formatCode>0.00</c:formatCode>
                <c:ptCount val="1"/>
                <c:pt idx="0">
                  <c:v>0.77391925465838518</c:v>
                </c:pt>
              </c:numCache>
            </c:numRef>
          </c:xVal>
          <c:yVal>
            <c:numRef>
              <c:f>Summary!$A$7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Summary!$B$8</c:f>
              <c:strCache>
                <c:ptCount val="1"/>
                <c:pt idx="0">
                  <c:v>sai-nsea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Summary!$R$8</c:f>
              <c:numCache>
                <c:formatCode>0.00</c:formatCode>
                <c:ptCount val="1"/>
                <c:pt idx="0">
                  <c:v>0.70317857142857143</c:v>
                </c:pt>
              </c:numCache>
            </c:numRef>
          </c:xVal>
          <c:yVal>
            <c:numRef>
              <c:f>Summary!$A$8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Summary!$B$10</c:f>
              <c:strCache>
                <c:ptCount val="1"/>
                <c:pt idx="0">
                  <c:v>cod-arct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Summary!$R$10</c:f>
              <c:numCache>
                <c:formatCode>0.00</c:formatCode>
                <c:ptCount val="1"/>
                <c:pt idx="0">
                  <c:v>1.0913683229813664</c:v>
                </c:pt>
              </c:numCache>
            </c:numRef>
          </c:xVal>
          <c:yVal>
            <c:numRef>
              <c:f>Summary!$A$10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Summary!$B$11</c:f>
              <c:strCache>
                <c:ptCount val="1"/>
                <c:pt idx="0">
                  <c:v>her-noss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Summary!$R$11</c:f>
              <c:numCache>
                <c:formatCode>0.00</c:formatCode>
                <c:ptCount val="1"/>
                <c:pt idx="0">
                  <c:v>0.8219428571428572</c:v>
                </c:pt>
              </c:numCache>
            </c:numRef>
          </c:xVal>
          <c:yVal>
            <c:numRef>
              <c:f>Summary!$A$11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Summary!$B$9</c:f>
              <c:strCache>
                <c:ptCount val="1"/>
                <c:pt idx="0">
                  <c:v>her-nsea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Summary!$R$9</c:f>
              <c:numCache>
                <c:formatCode>0.00</c:formatCode>
                <c:ptCount val="1"/>
                <c:pt idx="0">
                  <c:v>0.73133445054945057</c:v>
                </c:pt>
              </c:numCache>
            </c:numRef>
          </c:xVal>
          <c:yVal>
            <c:numRef>
              <c:f>Summary!$A$9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095680"/>
        <c:axId val="163097600"/>
      </c:scatterChart>
      <c:valAx>
        <c:axId val="163095680"/>
        <c:scaling>
          <c:orientation val="minMax"/>
          <c:max val="1.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SSB</a:t>
                </a:r>
                <a:r>
                  <a:rPr lang="en-US"/>
                  <a:t> / 2*</a:t>
                </a:r>
                <a:r>
                  <a:rPr lang="en-US" i="1"/>
                  <a:t>SSB</a:t>
                </a:r>
                <a:r>
                  <a:rPr lang="en-US" baseline="-25000"/>
                  <a:t>pa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63097600"/>
        <c:crosses val="autoZero"/>
        <c:crossBetween val="midCat"/>
        <c:majorUnit val="0.2"/>
      </c:valAx>
      <c:valAx>
        <c:axId val="163097600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63095680"/>
        <c:crosses val="autoZero"/>
        <c:crossBetween val="midCat"/>
        <c:majorUnit val="1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43963254593173E-2"/>
          <c:y val="5.1941612561587698E-2"/>
          <c:w val="0.87986570428696409"/>
          <c:h val="0.80454171846940181"/>
        </c:manualLayout>
      </c:layout>
      <c:scatterChart>
        <c:scatterStyle val="lineMarker"/>
        <c:varyColors val="0"/>
        <c:ser>
          <c:idx val="0"/>
          <c:order val="0"/>
          <c:tx>
            <c:strRef>
              <c:f>Summary!$B$3</c:f>
              <c:strCache>
                <c:ptCount val="1"/>
                <c:pt idx="0">
                  <c:v>spr-2232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Summary!$S$3</c:f>
              <c:numCache>
                <c:formatCode>0.0</c:formatCode>
                <c:ptCount val="1"/>
                <c:pt idx="0">
                  <c:v>1.6749190637944822</c:v>
                </c:pt>
              </c:numCache>
            </c:numRef>
          </c:xVal>
          <c:yVal>
            <c:numRef>
              <c:f>Summary!$A$3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Summary!$B$4</c:f>
              <c:strCache>
                <c:ptCount val="1"/>
                <c:pt idx="0">
                  <c:v>her-30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Summary!$S$4</c:f>
              <c:numCache>
                <c:formatCode>0.0</c:formatCode>
                <c:ptCount val="1"/>
                <c:pt idx="0">
                  <c:v>0.9529884843882056</c:v>
                </c:pt>
              </c:numCache>
            </c:numRef>
          </c:xVal>
          <c:yVal>
            <c:numRef>
              <c:f>Summary!$A$4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Summary!$B$5</c:f>
              <c:strCache>
                <c:ptCount val="1"/>
                <c:pt idx="0">
                  <c:v>her-31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Summary!$S$5</c:f>
              <c:numCache>
                <c:formatCode>0.0</c:formatCode>
                <c:ptCount val="1"/>
                <c:pt idx="0">
                  <c:v>0.93633151326671704</c:v>
                </c:pt>
              </c:numCache>
            </c:numRef>
          </c:xVal>
          <c:yVal>
            <c:numRef>
              <c:f>Summary!$A$5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Summary!$B$6</c:f>
              <c:strCache>
                <c:ptCount val="1"/>
                <c:pt idx="0">
                  <c:v>cod-2532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Summary!$S$6</c:f>
              <c:numCache>
                <c:formatCode>0.0</c:formatCode>
                <c:ptCount val="1"/>
                <c:pt idx="0">
                  <c:v>1.0916414005848523</c:v>
                </c:pt>
              </c:numCache>
            </c:numRef>
          </c:xVal>
          <c:yVal>
            <c:numRef>
              <c:f>Summary!$A$6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Summary!$B$7</c:f>
              <c:strCache>
                <c:ptCount val="1"/>
                <c:pt idx="0">
                  <c:v>ple-nsea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Summary!$S$7</c:f>
              <c:numCache>
                <c:formatCode>0.0</c:formatCode>
                <c:ptCount val="1"/>
                <c:pt idx="0">
                  <c:v>1.2934115693312727</c:v>
                </c:pt>
              </c:numCache>
            </c:numRef>
          </c:xVal>
          <c:yVal>
            <c:numRef>
              <c:f>Summary!$A$7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Summary!$B$8</c:f>
              <c:strCache>
                <c:ptCount val="1"/>
                <c:pt idx="0">
                  <c:v>sai-nsea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Summary!$S$8</c:f>
              <c:numCache>
                <c:formatCode>0.0</c:formatCode>
                <c:ptCount val="1"/>
                <c:pt idx="0">
                  <c:v>0.84753620281673125</c:v>
                </c:pt>
              </c:numCache>
            </c:numRef>
          </c:xVal>
          <c:yVal>
            <c:numRef>
              <c:f>Summary!$A$8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Summary!$B$10</c:f>
              <c:strCache>
                <c:ptCount val="1"/>
                <c:pt idx="0">
                  <c:v>cod-arct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Summary!$S$10</c:f>
              <c:numCache>
                <c:formatCode>0.0</c:formatCode>
                <c:ptCount val="1"/>
                <c:pt idx="0">
                  <c:v>0.80350409473165085</c:v>
                </c:pt>
              </c:numCache>
            </c:numRef>
          </c:xVal>
          <c:yVal>
            <c:numRef>
              <c:f>Summary!$A$10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Summary!$B$11</c:f>
              <c:strCache>
                <c:ptCount val="1"/>
                <c:pt idx="0">
                  <c:v>her-noss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Summary!$S$11</c:f>
              <c:numCache>
                <c:formatCode>0.0</c:formatCode>
                <c:ptCount val="1"/>
                <c:pt idx="0">
                  <c:v>1.3350539985704257</c:v>
                </c:pt>
              </c:numCache>
            </c:numRef>
          </c:xVal>
          <c:yVal>
            <c:numRef>
              <c:f>Summary!$A$11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Summary!$B$9</c:f>
              <c:strCache>
                <c:ptCount val="1"/>
                <c:pt idx="0">
                  <c:v>her-nsea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Summary!$S$9</c:f>
              <c:numCache>
                <c:formatCode>0.0</c:formatCode>
                <c:ptCount val="1"/>
                <c:pt idx="0">
                  <c:v>1.5302983164139052</c:v>
                </c:pt>
              </c:numCache>
            </c:numRef>
          </c:xVal>
          <c:yVal>
            <c:numRef>
              <c:f>Summary!$A$9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Summary!$B$2</c:f>
              <c:strCache>
                <c:ptCount val="1"/>
                <c:pt idx="0">
                  <c:v>cod-347d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Summary!$S$2</c:f>
              <c:numCache>
                <c:formatCode>0.0</c:formatCode>
                <c:ptCount val="1"/>
                <c:pt idx="0">
                  <c:v>0.67799916739756538</c:v>
                </c:pt>
              </c:numCache>
            </c:numRef>
          </c:xVal>
          <c:yVal>
            <c:numRef>
              <c:f>Summary!$A$2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00512"/>
        <c:axId val="162410880"/>
      </c:scatterChart>
      <c:valAx>
        <c:axId val="162400512"/>
        <c:scaling>
          <c:orientation val="minMax"/>
          <c:max val="1.8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L</a:t>
                </a:r>
                <a:r>
                  <a:rPr lang="en-US" i="1" baseline="-25000"/>
                  <a:t>mean</a:t>
                </a:r>
                <a:r>
                  <a:rPr lang="en-US"/>
                  <a:t> / </a:t>
                </a:r>
                <a:r>
                  <a:rPr lang="en-US" i="1"/>
                  <a:t>L</a:t>
                </a:r>
                <a:r>
                  <a:rPr lang="en-US" i="1" baseline="-25000"/>
                  <a:t>m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62410880"/>
        <c:crosses val="autoZero"/>
        <c:crossBetween val="midCat"/>
        <c:majorUnit val="0.1"/>
      </c:valAx>
      <c:valAx>
        <c:axId val="162410880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62400512"/>
        <c:crosses val="autoZero"/>
        <c:crossBetween val="midCat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43963254593173E-2"/>
          <c:y val="5.1941612561587698E-2"/>
          <c:w val="0.87986570428696409"/>
          <c:h val="0.80454171846940181"/>
        </c:manualLayout>
      </c:layout>
      <c:scatterChart>
        <c:scatterStyle val="lineMarker"/>
        <c:varyColors val="0"/>
        <c:ser>
          <c:idx val="0"/>
          <c:order val="0"/>
          <c:tx>
            <c:strRef>
              <c:f>Summary!$B$3</c:f>
              <c:strCache>
                <c:ptCount val="1"/>
                <c:pt idx="0">
                  <c:v>spr-2232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Summary!$T$3</c:f>
              <c:numCache>
                <c:formatCode>0.0</c:formatCode>
                <c:ptCount val="1"/>
                <c:pt idx="0">
                  <c:v>1.1335559881025363</c:v>
                </c:pt>
              </c:numCache>
            </c:numRef>
          </c:xVal>
          <c:yVal>
            <c:numRef>
              <c:f>Summary!$A$3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Summary!$B$4</c:f>
              <c:strCache>
                <c:ptCount val="1"/>
                <c:pt idx="0">
                  <c:v>her-30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Summary!$T$4</c:f>
              <c:numCache>
                <c:formatCode>0.0</c:formatCode>
                <c:ptCount val="1"/>
                <c:pt idx="0">
                  <c:v>0.97911341969931098</c:v>
                </c:pt>
              </c:numCache>
            </c:numRef>
          </c:xVal>
          <c:yVal>
            <c:numRef>
              <c:f>Summary!$A$4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Summary!$B$5</c:f>
              <c:strCache>
                <c:ptCount val="1"/>
                <c:pt idx="0">
                  <c:v>her-31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Summary!$T$5</c:f>
              <c:numCache>
                <c:formatCode>0.0</c:formatCode>
                <c:ptCount val="1"/>
                <c:pt idx="0">
                  <c:v>0.96199981945778934</c:v>
                </c:pt>
              </c:numCache>
            </c:numRef>
          </c:xVal>
          <c:yVal>
            <c:numRef>
              <c:f>Summary!$A$5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Summary!$B$6</c:f>
              <c:strCache>
                <c:ptCount val="1"/>
                <c:pt idx="0">
                  <c:v>cod-2532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Summary!$T$6</c:f>
              <c:numCache>
                <c:formatCode>0.0</c:formatCode>
                <c:ptCount val="1"/>
                <c:pt idx="0">
                  <c:v>0.57536267078761261</c:v>
                </c:pt>
              </c:numCache>
            </c:numRef>
          </c:xVal>
          <c:yVal>
            <c:numRef>
              <c:f>Summary!$A$6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Summary!$B$7</c:f>
              <c:strCache>
                <c:ptCount val="1"/>
                <c:pt idx="0">
                  <c:v>ple-nsea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Summary!$T$7</c:f>
              <c:numCache>
                <c:formatCode>0.0</c:formatCode>
                <c:ptCount val="1"/>
                <c:pt idx="0">
                  <c:v>0.73960495718874653</c:v>
                </c:pt>
              </c:numCache>
            </c:numRef>
          </c:xVal>
          <c:yVal>
            <c:numRef>
              <c:f>Summary!$A$7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Summary!$B$8</c:f>
              <c:strCache>
                <c:ptCount val="1"/>
                <c:pt idx="0">
                  <c:v>sai-nsea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Summary!$T$8</c:f>
              <c:numCache>
                <c:formatCode>0.0</c:formatCode>
                <c:ptCount val="1"/>
                <c:pt idx="0">
                  <c:v>0.68090525456048934</c:v>
                </c:pt>
              </c:numCache>
            </c:numRef>
          </c:xVal>
          <c:yVal>
            <c:numRef>
              <c:f>Summary!$A$8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Summary!$B$10</c:f>
              <c:strCache>
                <c:ptCount val="1"/>
                <c:pt idx="0">
                  <c:v>cod-arct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Summary!$T$10</c:f>
              <c:numCache>
                <c:formatCode>0.0</c:formatCode>
                <c:ptCount val="1"/>
                <c:pt idx="0">
                  <c:v>0.72011134873791594</c:v>
                </c:pt>
              </c:numCache>
            </c:numRef>
          </c:xVal>
          <c:yVal>
            <c:numRef>
              <c:f>Summary!$A$10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Summary!$B$11</c:f>
              <c:strCache>
                <c:ptCount val="1"/>
                <c:pt idx="0">
                  <c:v>her-noss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Summary!$T$11</c:f>
              <c:numCache>
                <c:formatCode>0.0</c:formatCode>
                <c:ptCount val="1"/>
                <c:pt idx="0">
                  <c:v>1.3410928101974446</c:v>
                </c:pt>
              </c:numCache>
            </c:numRef>
          </c:xVal>
          <c:yVal>
            <c:numRef>
              <c:f>Summary!$A$11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Summary!$B$9</c:f>
              <c:strCache>
                <c:ptCount val="1"/>
                <c:pt idx="0">
                  <c:v>her-nsea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Summary!$T$9</c:f>
              <c:numCache>
                <c:formatCode>0.0</c:formatCode>
                <c:ptCount val="1"/>
                <c:pt idx="0">
                  <c:v>1.1781332379115355</c:v>
                </c:pt>
              </c:numCache>
            </c:numRef>
          </c:xVal>
          <c:yVal>
            <c:numRef>
              <c:f>Summary!$A$9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Summary!$B$2</c:f>
              <c:strCache>
                <c:ptCount val="1"/>
                <c:pt idx="0">
                  <c:v>cod-347d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Summary!$T$2</c:f>
              <c:numCache>
                <c:formatCode>0.0</c:formatCode>
                <c:ptCount val="1"/>
                <c:pt idx="0">
                  <c:v>0.5779496879338234</c:v>
                </c:pt>
              </c:numCache>
            </c:numRef>
          </c:xVal>
          <c:yVal>
            <c:numRef>
              <c:f>Summary!$A$2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85376"/>
        <c:axId val="162487296"/>
      </c:scatterChart>
      <c:valAx>
        <c:axId val="162485376"/>
        <c:scaling>
          <c:orientation val="minMax"/>
          <c:max val="1.8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L</a:t>
                </a:r>
                <a:r>
                  <a:rPr lang="en-US" i="1" baseline="-25000"/>
                  <a:t>mean</a:t>
                </a:r>
                <a:r>
                  <a:rPr lang="en-US" i="1"/>
                  <a:t> / L</a:t>
                </a:r>
                <a:r>
                  <a:rPr lang="en-US" i="1" baseline="-25000"/>
                  <a:t>opt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62487296"/>
        <c:crosses val="autoZero"/>
        <c:crossBetween val="midCat"/>
        <c:majorUnit val="0.2"/>
      </c:valAx>
      <c:valAx>
        <c:axId val="16248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62485376"/>
        <c:crosses val="autoZero"/>
        <c:crossBetween val="midCat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699770</xdr:colOff>
      <xdr:row>15</xdr:row>
      <xdr:rowOff>110490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11852</xdr:colOff>
      <xdr:row>0</xdr:row>
      <xdr:rowOff>3387</xdr:rowOff>
    </xdr:from>
    <xdr:to>
      <xdr:col>14</xdr:col>
      <xdr:colOff>541866</xdr:colOff>
      <xdr:row>15</xdr:row>
      <xdr:rowOff>113877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424</xdr:colOff>
      <xdr:row>15</xdr:row>
      <xdr:rowOff>186267</xdr:rowOff>
    </xdr:from>
    <xdr:to>
      <xdr:col>5</xdr:col>
      <xdr:colOff>736601</xdr:colOff>
      <xdr:row>31</xdr:row>
      <xdr:rowOff>106257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37254</xdr:colOff>
      <xdr:row>32</xdr:row>
      <xdr:rowOff>27516</xdr:rowOff>
    </xdr:from>
    <xdr:to>
      <xdr:col>6</xdr:col>
      <xdr:colOff>50801</xdr:colOff>
      <xdr:row>48</xdr:row>
      <xdr:rowOff>27516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364067</xdr:colOff>
      <xdr:row>48</xdr:row>
      <xdr:rowOff>186266</xdr:rowOff>
    </xdr:from>
    <xdr:to>
      <xdr:col>13</xdr:col>
      <xdr:colOff>423333</xdr:colOff>
      <xdr:row>65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110066</xdr:colOff>
      <xdr:row>32</xdr:row>
      <xdr:rowOff>25400</xdr:rowOff>
    </xdr:from>
    <xdr:to>
      <xdr:col>13</xdr:col>
      <xdr:colOff>169332</xdr:colOff>
      <xdr:row>48</xdr:row>
      <xdr:rowOff>25400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6</xdr:col>
      <xdr:colOff>203200</xdr:colOff>
      <xdr:row>65</xdr:row>
      <xdr:rowOff>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6</xdr:col>
      <xdr:colOff>228600</xdr:colOff>
      <xdr:row>83</xdr:row>
      <xdr:rowOff>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25400</xdr:colOff>
      <xdr:row>66</xdr:row>
      <xdr:rowOff>152401</xdr:rowOff>
    </xdr:from>
    <xdr:to>
      <xdr:col>14</xdr:col>
      <xdr:colOff>330200</xdr:colOff>
      <xdr:row>82</xdr:row>
      <xdr:rowOff>152401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0.07594</cdr:x>
      <cdr:y>0.0625</cdr:y>
    </cdr:from>
    <cdr:to>
      <cdr:x>0.40556</cdr:x>
      <cdr:y>0.86079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47199" y="186267"/>
          <a:ext cx="1507001" cy="2379117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4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0.4037</cdr:x>
      <cdr:y>0.06179</cdr:y>
    </cdr:from>
    <cdr:to>
      <cdr:x>0.95741</cdr:x>
      <cdr:y>0.85724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845733" y="184151"/>
          <a:ext cx="2531546" cy="237065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>
            <a:alpha val="51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160020</xdr:colOff>
      <xdr:row>4</xdr:row>
      <xdr:rowOff>72390</xdr:rowOff>
    </xdr:from>
    <xdr:to>
      <xdr:col>21</xdr:col>
      <xdr:colOff>358140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0.82487</cdr:x>
      <cdr:y>0.04583</cdr:y>
    </cdr:from>
    <cdr:to>
      <cdr:x>0.96322</cdr:x>
      <cdr:y>0.1625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89020" y="125730"/>
          <a:ext cx="6019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 : 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0.84413</cdr:x>
      <cdr:y>0.0752</cdr:y>
    </cdr:from>
    <cdr:to>
      <cdr:x>0.98248</cdr:x>
      <cdr:y>0.19187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72846" y="214605"/>
          <a:ext cx="601963" cy="33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 : 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0.84063</cdr:x>
      <cdr:y>0.07667</cdr:y>
    </cdr:from>
    <cdr:to>
      <cdr:x>0.97898</cdr:x>
      <cdr:y>0.19334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598" y="222688"/>
          <a:ext cx="601964" cy="338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 : 1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0.07519</cdr:x>
      <cdr:y>0.03054</cdr:y>
    </cdr:from>
    <cdr:to>
      <cdr:x>0.29733</cdr:x>
      <cdr:y>0.8544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28872" y="91017"/>
          <a:ext cx="971607" cy="245532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>
            <a:alpha val="51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0.29346</cdr:x>
      <cdr:y>0.03054</cdr:y>
    </cdr:from>
    <cdr:to>
      <cdr:x>0.95354</cdr:x>
      <cdr:y>0.8544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83546" y="91017"/>
          <a:ext cx="2887133" cy="2455333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4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0.07594</cdr:x>
      <cdr:y>0.03125</cdr:y>
    </cdr:from>
    <cdr:to>
      <cdr:x>0.56667</cdr:x>
      <cdr:y>0.86079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47198" y="93135"/>
          <a:ext cx="2243617" cy="247225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4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0.56667</cdr:x>
      <cdr:y>0.03409</cdr:y>
    </cdr:from>
    <cdr:to>
      <cdr:x>0.95741</cdr:x>
      <cdr:y>0.85724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590800" y="101601"/>
          <a:ext cx="1786479" cy="245320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>
            <a:alpha val="51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0.07778</cdr:x>
      <cdr:y>0.03125</cdr:y>
    </cdr:from>
    <cdr:to>
      <cdr:x>0.32963</cdr:x>
      <cdr:y>0.8544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55610" y="93135"/>
          <a:ext cx="1151458" cy="2453206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>
            <a:alpha val="51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0.32778</cdr:x>
      <cdr:y>0.02841</cdr:y>
    </cdr:from>
    <cdr:to>
      <cdr:x>0.9537</cdr:x>
      <cdr:y>0.85227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498601" y="84667"/>
          <a:ext cx="2861732" cy="245532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4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0.07607</cdr:x>
      <cdr:y>0.03125</cdr:y>
    </cdr:from>
    <cdr:to>
      <cdr:x>0.6308</cdr:x>
      <cdr:y>0.86079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47133" y="93133"/>
          <a:ext cx="2531533" cy="2472251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4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0.6308</cdr:x>
      <cdr:y>0.03125</cdr:y>
    </cdr:from>
    <cdr:to>
      <cdr:x>0.95556</cdr:x>
      <cdr:y>0.85724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878667" y="93133"/>
          <a:ext cx="1482063" cy="2461671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>
            <a:alpha val="51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0.07594</cdr:x>
      <cdr:y>0.02841</cdr:y>
    </cdr:from>
    <cdr:to>
      <cdr:x>0.58148</cdr:x>
      <cdr:y>0.86079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48484" y="84667"/>
          <a:ext cx="2319889" cy="2480718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4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0.58148</cdr:x>
      <cdr:y>0.02841</cdr:y>
    </cdr:from>
    <cdr:to>
      <cdr:x>0.95741</cdr:x>
      <cdr:y>0.85724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668373" y="84667"/>
          <a:ext cx="1725117" cy="2470138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>
            <a:alpha val="51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ces.dk/reports/ACOM/2012/WGNSSK/Sec%2008%20Plaice%20in%20Subarea%20IV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ww.ices.dk/reports/ACOM/2012/AFWG/Sec%2003%20North-ast%20Arctic%20Cod%20(Subareas%20I%20and%2011)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ces.dk/reports/ACOM/2012/WGBFAS/Sec%2006.4%20Herrring%20in%20Subdivision%2030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ces.dk/reports/ACOM/2012/HAWG/Sec%2002%20North%20Sea%20Herri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I1" zoomScaleNormal="100" workbookViewId="0">
      <selection activeCell="N2" sqref="N2"/>
    </sheetView>
  </sheetViews>
  <sheetFormatPr defaultRowHeight="14.4" x14ac:dyDescent="0.3"/>
  <cols>
    <col min="1" max="1" width="9.6640625" style="63" bestFit="1" customWidth="1"/>
    <col min="3" max="3" width="8.88671875" style="63"/>
    <col min="6" max="6" width="10" bestFit="1" customWidth="1"/>
    <col min="7" max="7" width="12.33203125" customWidth="1"/>
    <col min="8" max="8" width="7.88671875" customWidth="1"/>
    <col min="9" max="9" width="5.6640625" bestFit="1" customWidth="1"/>
    <col min="10" max="10" width="8.88671875" style="63"/>
    <col min="11" max="11" width="5" customWidth="1"/>
    <col min="12" max="12" width="7.88671875" bestFit="1" customWidth="1"/>
    <col min="13" max="13" width="8.5546875" bestFit="1" customWidth="1"/>
    <col min="14" max="14" width="10.33203125" bestFit="1" customWidth="1"/>
    <col min="15" max="15" width="21.109375" style="63" customWidth="1"/>
    <col min="16" max="16" width="13.44140625" customWidth="1"/>
    <col min="17" max="17" width="12.6640625" style="63" customWidth="1"/>
    <col min="18" max="18" width="16.44140625" customWidth="1"/>
    <col min="19" max="19" width="10.33203125" customWidth="1"/>
    <col min="20" max="20" width="11.5546875" customWidth="1"/>
    <col min="21" max="21" width="12.44140625" bestFit="1" customWidth="1"/>
  </cols>
  <sheetData>
    <row r="1" spans="1:21" ht="15" x14ac:dyDescent="0.3">
      <c r="A1" s="64" t="s">
        <v>104</v>
      </c>
      <c r="B1" s="64" t="s">
        <v>82</v>
      </c>
      <c r="C1" s="64" t="s">
        <v>103</v>
      </c>
      <c r="D1" s="64" t="s">
        <v>4</v>
      </c>
      <c r="E1" s="64" t="s">
        <v>92</v>
      </c>
      <c r="F1" s="64" t="s">
        <v>93</v>
      </c>
      <c r="G1" s="64" t="s">
        <v>94</v>
      </c>
      <c r="H1" s="64" t="s">
        <v>24</v>
      </c>
      <c r="I1" s="64" t="s">
        <v>25</v>
      </c>
      <c r="J1" s="64" t="s">
        <v>96</v>
      </c>
      <c r="K1" s="64" t="s">
        <v>26</v>
      </c>
      <c r="L1" s="64" t="s">
        <v>27</v>
      </c>
      <c r="M1" s="64" t="s">
        <v>97</v>
      </c>
      <c r="N1" s="64" t="s">
        <v>98</v>
      </c>
      <c r="O1" s="64" t="s">
        <v>105</v>
      </c>
      <c r="P1" s="64" t="s">
        <v>65</v>
      </c>
      <c r="Q1" s="64" t="s">
        <v>16</v>
      </c>
      <c r="R1" s="64" t="s">
        <v>95</v>
      </c>
      <c r="S1" s="64" t="s">
        <v>99</v>
      </c>
      <c r="T1" s="64" t="s">
        <v>100</v>
      </c>
      <c r="U1" s="64" t="s">
        <v>108</v>
      </c>
    </row>
    <row r="2" spans="1:21" s="68" customFormat="1" x14ac:dyDescent="0.3">
      <c r="A2" s="63">
        <v>10</v>
      </c>
      <c r="B2" t="s">
        <v>118</v>
      </c>
      <c r="C2" s="63">
        <f>'cod-347d'!B6</f>
        <v>0.21</v>
      </c>
      <c r="D2">
        <v>0.19</v>
      </c>
      <c r="E2" s="62">
        <f>'cod-347d'!B7</f>
        <v>0.65414285714285714</v>
      </c>
      <c r="F2" s="61">
        <f>'cod-347d'!B4*2</f>
        <v>300000</v>
      </c>
      <c r="G2" s="61">
        <f>'cod-347d'!B10</f>
        <v>54929.571428571428</v>
      </c>
      <c r="H2" s="65">
        <f>'cod-347d'!B27</f>
        <v>71.604474047935966</v>
      </c>
      <c r="I2" s="65">
        <f>'cod-347d'!B28</f>
        <v>94.5</v>
      </c>
      <c r="J2" s="65">
        <f>'cod-347d'!C28</f>
        <v>84</v>
      </c>
      <c r="K2" s="65">
        <f>'cod-347d'!B29</f>
        <v>27.530163977534912</v>
      </c>
      <c r="L2" s="65">
        <f>'cod-347d'!B30</f>
        <v>48.547773786441162</v>
      </c>
      <c r="M2" s="65">
        <f>'cod-347d'!B31</f>
        <v>60.353442651689932</v>
      </c>
      <c r="N2" s="65">
        <f>'cod-347d'!C31</f>
        <v>52.14762298315118</v>
      </c>
      <c r="O2" s="63"/>
      <c r="P2" s="65">
        <f>E2/D2</f>
        <v>3.4428571428571426</v>
      </c>
      <c r="Q2" s="65">
        <f>E2/C2</f>
        <v>3.1149659863945578</v>
      </c>
      <c r="R2" s="62">
        <f>G2/F2</f>
        <v>0.18309857142857142</v>
      </c>
      <c r="S2" s="65">
        <f t="shared" ref="S2" si="0">L2/H2</f>
        <v>0.67799916739756538</v>
      </c>
      <c r="T2" s="65">
        <f t="shared" ref="T2" si="1">L2/J2</f>
        <v>0.5779496879338234</v>
      </c>
      <c r="U2" s="65">
        <f t="shared" ref="U2" si="2">L2/N2</f>
        <v>0.93096810572031008</v>
      </c>
    </row>
    <row r="3" spans="1:21" ht="15" x14ac:dyDescent="0.3">
      <c r="A3" s="63">
        <v>9</v>
      </c>
      <c r="B3" t="s">
        <v>83</v>
      </c>
      <c r="C3" s="63">
        <f>'Spr-2232'!B6</f>
        <v>0.28000000000000003</v>
      </c>
      <c r="D3">
        <f>'Spr-2232'!B3</f>
        <v>0.35</v>
      </c>
      <c r="E3" s="62">
        <f>'Spr-2232'!B7</f>
        <v>0.38764285714285707</v>
      </c>
      <c r="F3" s="61"/>
      <c r="G3" s="61">
        <f>'Spr-2232'!B10</f>
        <v>981000</v>
      </c>
      <c r="H3" s="65">
        <f>'Spr-2232'!B25</f>
        <v>6.4971124402460205</v>
      </c>
      <c r="I3" s="65">
        <f>'Spr-2232'!B26</f>
        <v>10.983050847457628</v>
      </c>
      <c r="J3" s="65">
        <f>'Spr-2232'!C26</f>
        <v>9.6</v>
      </c>
      <c r="K3" s="65">
        <f>'Spr-2232'!B27</f>
        <v>8.5247040736671007</v>
      </c>
      <c r="L3" s="65">
        <f>'Spr-2232'!B28</f>
        <v>10.882137485784348</v>
      </c>
      <c r="M3" s="65">
        <f>'Spr-2232'!B29</f>
        <v>10.574225908434391</v>
      </c>
      <c r="N3" s="65">
        <f>'Spr-2232'!C29</f>
        <v>9.9935280552503247</v>
      </c>
      <c r="O3" s="65"/>
      <c r="P3" s="65">
        <f>E3/D3</f>
        <v>1.1075510204081631</v>
      </c>
      <c r="Q3" s="65">
        <f>E3/C3</f>
        <v>1.3844387755102037</v>
      </c>
      <c r="S3" s="65">
        <f>L3/H3</f>
        <v>1.6749190637944822</v>
      </c>
      <c r="T3" s="65">
        <f>L3/J3</f>
        <v>1.1335559881025363</v>
      </c>
      <c r="U3" s="65">
        <f>L3/N3</f>
        <v>1.0889184906092471</v>
      </c>
    </row>
    <row r="4" spans="1:21" ht="15" x14ac:dyDescent="0.3">
      <c r="A4" s="63">
        <v>8</v>
      </c>
      <c r="B4" t="s">
        <v>85</v>
      </c>
      <c r="C4" s="63">
        <f>'Her-30'!B6</f>
        <v>0.2</v>
      </c>
      <c r="D4">
        <f>'Her-30'!B3</f>
        <v>0.19</v>
      </c>
      <c r="E4" s="62">
        <f>'Her-30'!B7</f>
        <v>0.1376</v>
      </c>
      <c r="F4" s="61"/>
      <c r="G4" s="61">
        <f>'Her-30'!B10</f>
        <v>472945.57142857142</v>
      </c>
      <c r="H4" s="65">
        <f>'Her-30'!B25</f>
        <v>16.233136375389105</v>
      </c>
      <c r="I4" s="65">
        <f>'Her-30'!B26</f>
        <v>18.188372093023254</v>
      </c>
      <c r="J4" s="65">
        <f>'Her-30'!C26</f>
        <v>15.799999999999999</v>
      </c>
      <c r="K4" s="65">
        <f>'Her-30'!B27</f>
        <v>9.3380048787367969</v>
      </c>
      <c r="L4" s="65">
        <f>'Her-30'!B28</f>
        <v>15.469992031249113</v>
      </c>
      <c r="M4" s="65">
        <f>'Her-30'!B29</f>
        <v>14.434196695959223</v>
      </c>
      <c r="N4" s="65">
        <f>'Her-30'!C29</f>
        <v>12.928503659052598</v>
      </c>
      <c r="O4" s="65"/>
      <c r="P4" s="65">
        <f t="shared" ref="P4:P11" si="3">E4/D4</f>
        <v>0.72421052631578942</v>
      </c>
      <c r="Q4" s="65">
        <f t="shared" ref="Q4:Q11" si="4">E4/C4</f>
        <v>0.68799999999999994</v>
      </c>
      <c r="R4" s="63"/>
      <c r="S4" s="65">
        <f t="shared" ref="S4:S11" si="5">L4/H4</f>
        <v>0.9529884843882056</v>
      </c>
      <c r="T4" s="65">
        <f t="shared" ref="T4:T11" si="6">L4/J4</f>
        <v>0.97911341969931098</v>
      </c>
      <c r="U4" s="65">
        <f t="shared" ref="U4:U11" si="7">L4/N4</f>
        <v>1.196580241551539</v>
      </c>
    </row>
    <row r="5" spans="1:21" ht="15" x14ac:dyDescent="0.3">
      <c r="A5" s="63">
        <v>7</v>
      </c>
      <c r="B5" t="s">
        <v>86</v>
      </c>
      <c r="C5" s="63">
        <f>'Her-31'!B6</f>
        <v>0.15</v>
      </c>
      <c r="E5" s="62">
        <f>'Her-31'!B7</f>
        <v>0.29932857142857144</v>
      </c>
      <c r="G5" s="61">
        <f>'Her-31'!B10</f>
        <v>9743.8571428571431</v>
      </c>
      <c r="H5" s="65">
        <f>'Her-31'!B25</f>
        <v>16.233136375389105</v>
      </c>
      <c r="I5" s="65">
        <f>'Her-31'!B26</f>
        <v>19.31111111111111</v>
      </c>
      <c r="J5" s="65">
        <f>'Her-31'!C26</f>
        <v>15.799999999999999</v>
      </c>
      <c r="K5" s="65">
        <f>'Her-31'!B27</f>
        <v>10.650595875749273</v>
      </c>
      <c r="L5" s="65">
        <f>'Her-31'!B28</f>
        <v>15.199597147433071</v>
      </c>
      <c r="M5" s="65">
        <f>'Her-31'!B29</f>
        <v>16.171497620624582</v>
      </c>
      <c r="N5" s="65">
        <f>'Her-31'!C29</f>
        <v>13.912946906811953</v>
      </c>
      <c r="O5" s="65"/>
      <c r="P5" s="65"/>
      <c r="Q5" s="65">
        <f t="shared" si="4"/>
        <v>1.9955238095238097</v>
      </c>
      <c r="R5" s="63"/>
      <c r="S5" s="65">
        <f t="shared" si="5"/>
        <v>0.93633151326671704</v>
      </c>
      <c r="T5" s="65">
        <f t="shared" si="6"/>
        <v>0.96199981945778934</v>
      </c>
      <c r="U5" s="65">
        <f t="shared" si="7"/>
        <v>1.0924786279455403</v>
      </c>
    </row>
    <row r="6" spans="1:21" ht="15" x14ac:dyDescent="0.3">
      <c r="A6" s="63">
        <v>6</v>
      </c>
      <c r="B6" t="s">
        <v>84</v>
      </c>
      <c r="C6" s="63">
        <f>'Cod-2532'!B6</f>
        <v>0.2</v>
      </c>
      <c r="D6">
        <f>'Cod-2532'!B3</f>
        <v>0.3</v>
      </c>
      <c r="E6" s="62">
        <f>'Cod-2532'!B7</f>
        <v>0.47728571428571431</v>
      </c>
      <c r="F6" s="61"/>
      <c r="G6" s="61">
        <f>'Cod-2532'!B10</f>
        <v>139097.85714285713</v>
      </c>
      <c r="H6" s="65">
        <f>'Cod-2532'!B26</f>
        <v>42.164957868351948</v>
      </c>
      <c r="I6" s="65">
        <f>'Cod-2532'!B27</f>
        <v>79.322033898305094</v>
      </c>
      <c r="J6" s="65">
        <f>'Cod-2532'!C27</f>
        <v>80</v>
      </c>
      <c r="K6" s="65">
        <f>'Cod-2532'!B28</f>
        <v>36.052424065789516</v>
      </c>
      <c r="L6" s="65">
        <f>'Cod-2532'!B29</f>
        <v>46.02901366300901</v>
      </c>
      <c r="M6" s="65">
        <f>'Cod-2532'!B30</f>
        <v>56.643338917576997</v>
      </c>
      <c r="N6" s="65">
        <f>'Cod-2532'!C30</f>
        <v>57.039318049342135</v>
      </c>
      <c r="O6" s="65"/>
      <c r="P6" s="65">
        <f t="shared" si="3"/>
        <v>1.5909523809523811</v>
      </c>
      <c r="Q6" s="65">
        <f t="shared" si="4"/>
        <v>2.3864285714285716</v>
      </c>
      <c r="R6" s="63"/>
      <c r="S6" s="65">
        <f t="shared" si="5"/>
        <v>1.0916414005848523</v>
      </c>
      <c r="T6" s="65">
        <f t="shared" si="6"/>
        <v>0.57536267078761261</v>
      </c>
      <c r="U6" s="65">
        <f t="shared" si="7"/>
        <v>0.80696991543958141</v>
      </c>
    </row>
    <row r="7" spans="1:21" ht="15" x14ac:dyDescent="0.3">
      <c r="A7" s="63">
        <v>5</v>
      </c>
      <c r="B7" t="s">
        <v>89</v>
      </c>
      <c r="C7" s="63">
        <f>'ple-nsea'!B6</f>
        <v>0.1</v>
      </c>
      <c r="D7">
        <f>'ple-nsea'!B3</f>
        <v>0.25</v>
      </c>
      <c r="E7" s="62">
        <f>'ple-nsea'!B7</f>
        <v>0.2857142857142857</v>
      </c>
      <c r="F7">
        <f>'ple-nsea'!B4*2</f>
        <v>460000</v>
      </c>
      <c r="G7" s="61">
        <f>'ple-nsea'!B10</f>
        <v>356002.85714285716</v>
      </c>
      <c r="H7" s="65">
        <f>'ple-nsea'!B27</f>
        <v>19.899506947719448</v>
      </c>
      <c r="I7" s="65">
        <f>'ple-nsea'!B28</f>
        <v>43.2</v>
      </c>
      <c r="J7" s="65">
        <f>'ple-nsea'!C28</f>
        <v>34.799999999999997</v>
      </c>
      <c r="K7" s="65">
        <f>'ple-nsea'!B29</f>
        <v>17.863159877080562</v>
      </c>
      <c r="L7" s="65">
        <f>'ple-nsea'!B30</f>
        <v>25.738252510168376</v>
      </c>
      <c r="M7" s="65">
        <f>'ple-nsea'!B31</f>
        <v>33.123977709489203</v>
      </c>
      <c r="N7" s="65">
        <f>'ple-nsea'!C31</f>
        <v>26.447369907810423</v>
      </c>
      <c r="O7" s="65"/>
      <c r="P7" s="65">
        <f t="shared" si="3"/>
        <v>1.1428571428571428</v>
      </c>
      <c r="Q7" s="65">
        <f t="shared" si="4"/>
        <v>2.8571428571428568</v>
      </c>
      <c r="R7" s="62">
        <f>G7/F7</f>
        <v>0.77391925465838518</v>
      </c>
      <c r="S7" s="65">
        <f t="shared" si="5"/>
        <v>1.2934115693312727</v>
      </c>
      <c r="T7" s="65">
        <f t="shared" si="6"/>
        <v>0.73960495718874653</v>
      </c>
      <c r="U7" s="65">
        <f t="shared" si="7"/>
        <v>0.9731876023924545</v>
      </c>
    </row>
    <row r="8" spans="1:21" ht="15" x14ac:dyDescent="0.3">
      <c r="A8" s="63">
        <v>4</v>
      </c>
      <c r="B8" t="s">
        <v>90</v>
      </c>
      <c r="C8" s="63">
        <f>'sai-nsea'!B6</f>
        <v>0.2</v>
      </c>
      <c r="D8">
        <f>'sai-nsea'!B3</f>
        <v>0.3</v>
      </c>
      <c r="E8" s="62">
        <f>'sai-nsea'!B7</f>
        <v>0.29614285714285715</v>
      </c>
      <c r="F8" s="61">
        <f>'sai-nsea'!B4*2</f>
        <v>400000</v>
      </c>
      <c r="G8" s="61">
        <f>'sai-nsea'!B10</f>
        <v>281271.42857142858</v>
      </c>
      <c r="H8" s="65">
        <f>'sai-nsea'!B27</f>
        <v>68.556263275508286</v>
      </c>
      <c r="I8" s="65">
        <f>'sai-nsea'!B28</f>
        <v>84.610169491525426</v>
      </c>
      <c r="J8" s="65">
        <f>'sai-nsea'!C28</f>
        <v>85.333333333333329</v>
      </c>
      <c r="K8" s="65">
        <f>'sai-nsea'!B29</f>
        <v>43.157744085442204</v>
      </c>
      <c r="L8" s="65">
        <f>'sai-nsea'!B30</f>
        <v>58.103915055828416</v>
      </c>
      <c r="M8" s="65">
        <f>'sai-nsea'!B31</f>
        <v>63.968108743729971</v>
      </c>
      <c r="N8" s="65">
        <f>'sai-nsea'!C31</f>
        <v>64.368308064081646</v>
      </c>
      <c r="O8" s="65"/>
      <c r="P8" s="65">
        <f t="shared" si="3"/>
        <v>0.98714285714285721</v>
      </c>
      <c r="Q8" s="65">
        <f t="shared" si="4"/>
        <v>1.4807142857142856</v>
      </c>
      <c r="R8" s="62">
        <f t="shared" ref="R8:R11" si="8">G8/F8</f>
        <v>0.70317857142857143</v>
      </c>
      <c r="S8" s="65">
        <f t="shared" si="5"/>
        <v>0.84753620281673125</v>
      </c>
      <c r="T8" s="65">
        <f t="shared" si="6"/>
        <v>0.68090525456048934</v>
      </c>
      <c r="U8" s="65">
        <f t="shared" si="7"/>
        <v>0.90267892388880666</v>
      </c>
    </row>
    <row r="9" spans="1:21" ht="15" x14ac:dyDescent="0.3">
      <c r="A9" s="63">
        <v>3</v>
      </c>
      <c r="B9" t="s">
        <v>91</v>
      </c>
      <c r="C9" s="63">
        <f>'Her-nsea'!B6</f>
        <v>0.34</v>
      </c>
      <c r="D9">
        <f>'Her-nsea'!B3</f>
        <v>0.25</v>
      </c>
      <c r="E9" s="62">
        <f>'Her-nsea'!B7</f>
        <v>0.15189999999999998</v>
      </c>
      <c r="F9" s="61">
        <f>'Her-nsea'!B4*2</f>
        <v>2600000</v>
      </c>
      <c r="G9" s="61">
        <f>'Her-nsea'!B10</f>
        <v>1901469.5714285714</v>
      </c>
      <c r="H9" s="65">
        <f>'Her-nsea'!B25</f>
        <v>15.910680065240877</v>
      </c>
      <c r="I9" s="65">
        <f>'Her-nsea'!B26</f>
        <v>21.056603773584904</v>
      </c>
      <c r="J9" s="65">
        <f>'Her-nsea'!C26</f>
        <v>20.666666666666664</v>
      </c>
      <c r="K9" s="65">
        <f>'Her-nsea'!B27</f>
        <v>9.8941586944938855</v>
      </c>
      <c r="L9" s="65">
        <f>'Her-nsea'!B28</f>
        <v>24.348086916838398</v>
      </c>
      <c r="M9" s="65">
        <f>'Her-nsea'!B29</f>
        <v>15.400030339408522</v>
      </c>
      <c r="N9" s="65">
        <f>'Her-nsea'!C29</f>
        <v>15.170619020870415</v>
      </c>
      <c r="O9" s="65"/>
      <c r="P9" s="65">
        <f t="shared" si="3"/>
        <v>0.60759999999999992</v>
      </c>
      <c r="Q9" s="65">
        <f t="shared" si="4"/>
        <v>0.44676470588235284</v>
      </c>
      <c r="R9" s="62">
        <f t="shared" si="8"/>
        <v>0.73133445054945057</v>
      </c>
      <c r="S9" s="65">
        <f t="shared" si="5"/>
        <v>1.5302983164139052</v>
      </c>
      <c r="T9" s="65">
        <f t="shared" si="6"/>
        <v>1.1781332379115355</v>
      </c>
      <c r="U9" s="65">
        <f t="shared" si="7"/>
        <v>1.6049501265137844</v>
      </c>
    </row>
    <row r="10" spans="1:21" ht="15" x14ac:dyDescent="0.3">
      <c r="A10" s="63">
        <v>2</v>
      </c>
      <c r="B10" t="s">
        <v>87</v>
      </c>
      <c r="C10" s="63">
        <f>'Cod-arct'!B6</f>
        <v>0.2</v>
      </c>
      <c r="D10">
        <f>'Cod-arct'!B3</f>
        <v>0.4</v>
      </c>
      <c r="E10" s="62">
        <f>'Cod-arct'!B7</f>
        <v>0.38380000000000003</v>
      </c>
      <c r="F10" s="61">
        <f>'Cod-arct'!B4*2</f>
        <v>920000</v>
      </c>
      <c r="G10" s="61">
        <f>'Cod-arct'!B10</f>
        <v>1004058.8571428572</v>
      </c>
      <c r="H10" s="65">
        <f>'Cod-arct'!B26</f>
        <v>77.074375099660955</v>
      </c>
      <c r="I10" s="65">
        <f>'Cod-arct'!B27</f>
        <v>85.271186440677965</v>
      </c>
      <c r="J10" s="65">
        <f>'Cod-arct'!C27</f>
        <v>86</v>
      </c>
      <c r="K10" s="65">
        <f>'Cod-arct'!B28</f>
        <v>40.119062145010517</v>
      </c>
      <c r="L10" s="65">
        <f>'Cod-arct'!B29</f>
        <v>61.929575991460766</v>
      </c>
      <c r="M10" s="65">
        <f>'Cod-arct'!B30</f>
        <v>61.920046901894729</v>
      </c>
      <c r="N10" s="65">
        <f>'Cod-arct'!C30</f>
        <v>62.339296608757891</v>
      </c>
      <c r="O10" s="65"/>
      <c r="P10" s="65">
        <f t="shared" si="3"/>
        <v>0.95950000000000002</v>
      </c>
      <c r="Q10" s="65">
        <f t="shared" si="4"/>
        <v>1.919</v>
      </c>
      <c r="R10" s="62">
        <f t="shared" si="8"/>
        <v>1.0913683229813664</v>
      </c>
      <c r="S10" s="65">
        <f t="shared" si="5"/>
        <v>0.80350409473165085</v>
      </c>
      <c r="T10" s="65">
        <f t="shared" si="6"/>
        <v>0.72011134873791594</v>
      </c>
      <c r="U10" s="65">
        <f t="shared" si="7"/>
        <v>0.99342757073650456</v>
      </c>
    </row>
    <row r="11" spans="1:21" ht="15" x14ac:dyDescent="0.3">
      <c r="A11" s="63">
        <v>1</v>
      </c>
      <c r="B11" t="s">
        <v>88</v>
      </c>
      <c r="C11" s="63">
        <f>'Her-noss'!B6</f>
        <v>0.15</v>
      </c>
      <c r="D11">
        <f>'Her-noss'!B3</f>
        <v>0.15</v>
      </c>
      <c r="E11" s="62">
        <f>'Her-noss'!B7</f>
        <v>0.14533333333333334</v>
      </c>
      <c r="F11" s="61">
        <f>'Her-noss'!B4*2</f>
        <v>10000000</v>
      </c>
      <c r="G11" s="61">
        <f>'Her-noss'!B10</f>
        <v>8219428.5714285718</v>
      </c>
      <c r="H11" s="65">
        <f>'Her-noss'!B25</f>
        <v>25.447922876564014</v>
      </c>
      <c r="I11" s="65">
        <f>'Her-noss'!B26</f>
        <v>30.083333333333332</v>
      </c>
      <c r="J11" s="65">
        <f>'Her-noss'!C26</f>
        <v>25.333333333333332</v>
      </c>
      <c r="K11" s="65">
        <f>'Her-noss'!B27</f>
        <v>16.647371655952412</v>
      </c>
      <c r="L11" s="65">
        <f>'Her-noss'!B28</f>
        <v>33.974351191668596</v>
      </c>
      <c r="M11" s="65">
        <f>'Her-noss'!B29</f>
        <v>24.926962238338209</v>
      </c>
      <c r="N11" s="65">
        <f>'Her-noss'!C29</f>
        <v>21.985528741964309</v>
      </c>
      <c r="O11" s="65"/>
      <c r="P11" s="65">
        <f t="shared" si="3"/>
        <v>0.96888888888888902</v>
      </c>
      <c r="Q11" s="65">
        <f t="shared" si="4"/>
        <v>0.96888888888888902</v>
      </c>
      <c r="R11" s="62">
        <f t="shared" si="8"/>
        <v>0.8219428571428572</v>
      </c>
      <c r="S11" s="65">
        <f t="shared" si="5"/>
        <v>1.3350539985704257</v>
      </c>
      <c r="T11" s="65">
        <f t="shared" si="6"/>
        <v>1.3410928101974446</v>
      </c>
      <c r="U11" s="65">
        <f t="shared" si="7"/>
        <v>1.5453051682501013</v>
      </c>
    </row>
  </sheetData>
  <pageMargins left="0.7" right="0.7" top="0.75" bottom="0.75" header="0.3" footer="0.3"/>
  <ignoredErrors>
    <ignoredError sqref="Q7:Q1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10" workbookViewId="0">
      <selection activeCell="F21" sqref="F21"/>
    </sheetView>
  </sheetViews>
  <sheetFormatPr defaultRowHeight="14.4" x14ac:dyDescent="0.3"/>
  <cols>
    <col min="1" max="1" width="26.6640625" customWidth="1"/>
  </cols>
  <sheetData>
    <row r="1" spans="1:11" x14ac:dyDescent="0.3">
      <c r="A1" s="56" t="s">
        <v>73</v>
      </c>
      <c r="B1" s="55"/>
      <c r="D1" s="23" t="s">
        <v>74</v>
      </c>
    </row>
    <row r="2" spans="1:11" x14ac:dyDescent="0.3">
      <c r="A2" s="56" t="s">
        <v>3</v>
      </c>
      <c r="B2" s="55"/>
    </row>
    <row r="3" spans="1:11" x14ac:dyDescent="0.3">
      <c r="A3" s="56" t="s">
        <v>4</v>
      </c>
      <c r="B3" s="55">
        <v>0.25</v>
      </c>
    </row>
    <row r="4" spans="1:11" x14ac:dyDescent="0.3">
      <c r="A4" s="56" t="s">
        <v>5</v>
      </c>
      <c r="B4" s="55">
        <v>230000</v>
      </c>
      <c r="D4" s="59"/>
      <c r="E4" s="60" t="s">
        <v>2</v>
      </c>
      <c r="F4" s="60" t="s">
        <v>0</v>
      </c>
      <c r="H4" s="63"/>
      <c r="I4" s="64" t="s">
        <v>76</v>
      </c>
      <c r="J4" s="64" t="s">
        <v>77</v>
      </c>
    </row>
    <row r="5" spans="1:11" x14ac:dyDescent="0.3">
      <c r="A5" s="56" t="s">
        <v>6</v>
      </c>
      <c r="B5" s="55">
        <v>3</v>
      </c>
      <c r="D5" s="59">
        <v>2005</v>
      </c>
      <c r="E5" s="59">
        <v>0.41</v>
      </c>
      <c r="F5" s="61">
        <v>243515</v>
      </c>
      <c r="H5" s="63">
        <v>2005</v>
      </c>
      <c r="I5" s="63">
        <v>6.7000000000000004E-2</v>
      </c>
      <c r="J5" s="63">
        <v>96522</v>
      </c>
      <c r="K5">
        <f>J5*I5</f>
        <v>6466.9740000000002</v>
      </c>
    </row>
    <row r="6" spans="1:11" x14ac:dyDescent="0.3">
      <c r="A6" s="56" t="s">
        <v>7</v>
      </c>
      <c r="B6" s="55">
        <v>0.1</v>
      </c>
      <c r="D6" s="59">
        <v>2006</v>
      </c>
      <c r="E6" s="59">
        <v>0.38</v>
      </c>
      <c r="F6" s="61">
        <v>252277</v>
      </c>
      <c r="H6" s="63">
        <v>2006</v>
      </c>
      <c r="I6" s="63">
        <v>0.06</v>
      </c>
      <c r="J6" s="63">
        <v>220856</v>
      </c>
      <c r="K6" s="63">
        <f t="shared" ref="K6:K64" si="0">J6*I6</f>
        <v>13251.359999999999</v>
      </c>
    </row>
    <row r="7" spans="1:11" x14ac:dyDescent="0.3">
      <c r="A7" s="56" t="s">
        <v>75</v>
      </c>
      <c r="B7" s="62">
        <f>E12</f>
        <v>0.2857142857142857</v>
      </c>
      <c r="D7" s="59">
        <v>2007</v>
      </c>
      <c r="E7" s="59">
        <v>0.32</v>
      </c>
      <c r="F7" s="61">
        <v>259858</v>
      </c>
      <c r="H7" s="63">
        <v>2007</v>
      </c>
      <c r="I7" s="63">
        <v>5.8000000000000003E-2</v>
      </c>
      <c r="J7" s="63">
        <v>78525</v>
      </c>
      <c r="K7" s="63">
        <f t="shared" si="0"/>
        <v>4554.45</v>
      </c>
    </row>
    <row r="8" spans="1:11" x14ac:dyDescent="0.3">
      <c r="A8" s="56" t="s">
        <v>9</v>
      </c>
      <c r="B8" s="62">
        <f>E15</f>
        <v>0.22360728127839299</v>
      </c>
      <c r="D8" s="59">
        <v>2008</v>
      </c>
      <c r="E8" s="59">
        <v>0.24</v>
      </c>
      <c r="F8" s="61">
        <v>359399</v>
      </c>
      <c r="H8" s="63">
        <v>2008</v>
      </c>
      <c r="I8" s="63">
        <v>5.7000000000000002E-2</v>
      </c>
      <c r="J8" s="63">
        <v>135719</v>
      </c>
      <c r="K8" s="63">
        <f t="shared" si="0"/>
        <v>7735.9830000000002</v>
      </c>
    </row>
    <row r="9" spans="1:11" x14ac:dyDescent="0.3">
      <c r="A9" s="56" t="s">
        <v>10</v>
      </c>
      <c r="B9" s="62">
        <f>E16</f>
        <v>0.34782129015017837</v>
      </c>
      <c r="D9" s="59">
        <v>2009</v>
      </c>
      <c r="E9" s="59">
        <v>0.21</v>
      </c>
      <c r="F9" s="61">
        <v>400115</v>
      </c>
      <c r="H9" s="63">
        <v>2009</v>
      </c>
      <c r="I9" s="63">
        <v>6.0999999999999999E-2</v>
      </c>
      <c r="J9" s="63">
        <v>150131</v>
      </c>
      <c r="K9" s="63">
        <f t="shared" si="0"/>
        <v>9157.991</v>
      </c>
    </row>
    <row r="10" spans="1:11" x14ac:dyDescent="0.3">
      <c r="A10" s="56" t="s">
        <v>11</v>
      </c>
      <c r="B10" s="61">
        <f>F12</f>
        <v>356002.85714285716</v>
      </c>
      <c r="D10" s="59">
        <v>2010</v>
      </c>
      <c r="E10" s="59">
        <v>0.21</v>
      </c>
      <c r="F10" s="61">
        <v>500793</v>
      </c>
      <c r="H10" s="63">
        <v>2010</v>
      </c>
      <c r="I10" s="63">
        <v>6.2E-2</v>
      </c>
      <c r="J10" s="63">
        <v>167940</v>
      </c>
      <c r="K10" s="63">
        <f t="shared" si="0"/>
        <v>10412.280000000001</v>
      </c>
    </row>
    <row r="11" spans="1:11" x14ac:dyDescent="0.3">
      <c r="A11" s="56" t="s">
        <v>12</v>
      </c>
      <c r="B11" s="61">
        <f>F15</f>
        <v>275990.51133953169</v>
      </c>
      <c r="D11">
        <v>2011</v>
      </c>
      <c r="E11">
        <v>0.23</v>
      </c>
      <c r="F11" s="61">
        <v>476063</v>
      </c>
      <c r="H11" s="63">
        <v>2005</v>
      </c>
      <c r="I11" s="63">
        <v>0.11600000000000001</v>
      </c>
      <c r="J11" s="63">
        <v>341429</v>
      </c>
      <c r="K11" s="63">
        <f t="shared" si="0"/>
        <v>39605.764000000003</v>
      </c>
    </row>
    <row r="12" spans="1:11" x14ac:dyDescent="0.3">
      <c r="A12" s="56" t="s">
        <v>13</v>
      </c>
      <c r="B12" s="61">
        <f>F16</f>
        <v>436015.20294618263</v>
      </c>
      <c r="D12" t="s">
        <v>35</v>
      </c>
      <c r="E12" s="62">
        <f>AVERAGE(E5:E11)</f>
        <v>0.2857142857142857</v>
      </c>
      <c r="F12" s="61">
        <f>AVERAGE(F5:F11)</f>
        <v>356002.85714285716</v>
      </c>
      <c r="H12" s="63">
        <v>2006</v>
      </c>
      <c r="I12" s="63">
        <v>0.13900000000000001</v>
      </c>
      <c r="J12" s="63">
        <v>242801</v>
      </c>
      <c r="K12" s="63">
        <f t="shared" si="0"/>
        <v>33749.339</v>
      </c>
    </row>
    <row r="13" spans="1:11" x14ac:dyDescent="0.3">
      <c r="A13" s="56" t="s">
        <v>14</v>
      </c>
      <c r="B13" s="55">
        <v>57</v>
      </c>
      <c r="D13" t="s">
        <v>36</v>
      </c>
      <c r="E13" s="62">
        <f>STDEV(E5:E11)</f>
        <v>8.3836575720692585E-2</v>
      </c>
      <c r="F13" s="61">
        <f>STDEV(F5:F11)</f>
        <v>108006.5146992356</v>
      </c>
      <c r="H13" s="63">
        <v>2007</v>
      </c>
      <c r="I13" s="63">
        <v>0.112</v>
      </c>
      <c r="J13" s="63">
        <v>222980</v>
      </c>
      <c r="K13" s="63">
        <f t="shared" si="0"/>
        <v>24973.760000000002</v>
      </c>
    </row>
    <row r="14" spans="1:11" x14ac:dyDescent="0.3">
      <c r="A14" s="56" t="s">
        <v>15</v>
      </c>
      <c r="B14" s="9">
        <f>K66*1000</f>
        <v>170.505020742211</v>
      </c>
      <c r="D14" t="s">
        <v>37</v>
      </c>
      <c r="E14" s="62">
        <f>E13/SQRT(COUNT(E5:E11))</f>
        <v>3.1687247161169746E-2</v>
      </c>
      <c r="F14" s="61">
        <f>F13/SQRT(COUNT(F5:F11))</f>
        <v>40822.625409859938</v>
      </c>
      <c r="H14" s="63">
        <v>2008</v>
      </c>
      <c r="I14" s="63">
        <v>0.122</v>
      </c>
      <c r="J14" s="63">
        <v>262359</v>
      </c>
      <c r="K14" s="63">
        <f t="shared" si="0"/>
        <v>32007.797999999999</v>
      </c>
    </row>
    <row r="15" spans="1:11" x14ac:dyDescent="0.3">
      <c r="A15" s="49" t="s">
        <v>65</v>
      </c>
      <c r="B15" s="48">
        <f>B7/B3</f>
        <v>1.1428571428571428</v>
      </c>
      <c r="D15" t="s">
        <v>38</v>
      </c>
      <c r="E15" s="62">
        <f>E12-1.96*E14</f>
        <v>0.22360728127839299</v>
      </c>
      <c r="F15" s="61">
        <f>F12-1.96*F14</f>
        <v>275990.51133953169</v>
      </c>
      <c r="H15" s="63">
        <v>2009</v>
      </c>
      <c r="I15" s="63">
        <v>0.124</v>
      </c>
      <c r="J15" s="63">
        <v>202683</v>
      </c>
      <c r="K15" s="63">
        <f t="shared" si="0"/>
        <v>25132.691999999999</v>
      </c>
    </row>
    <row r="16" spans="1:11" x14ac:dyDescent="0.3">
      <c r="A16" s="56" t="s">
        <v>16</v>
      </c>
      <c r="B16" s="55">
        <v>2.8999999999999995</v>
      </c>
      <c r="D16" t="s">
        <v>39</v>
      </c>
      <c r="E16" s="62">
        <f>E12+1.96*E14</f>
        <v>0.34782129015017837</v>
      </c>
      <c r="F16" s="61">
        <f>F12+1.96*F14</f>
        <v>436015.20294618263</v>
      </c>
      <c r="H16" s="63">
        <v>2010</v>
      </c>
      <c r="I16" s="63">
        <v>0.13100000000000001</v>
      </c>
      <c r="J16" s="63">
        <v>195859</v>
      </c>
      <c r="K16" s="63">
        <f t="shared" si="0"/>
        <v>25657.529000000002</v>
      </c>
    </row>
    <row r="17" spans="1:11" x14ac:dyDescent="0.3">
      <c r="H17" s="63">
        <v>2005</v>
      </c>
      <c r="I17" s="63">
        <v>0.21199999999999999</v>
      </c>
      <c r="J17" s="63">
        <v>69366</v>
      </c>
      <c r="K17" s="63">
        <f t="shared" si="0"/>
        <v>14705.591999999999</v>
      </c>
    </row>
    <row r="18" spans="1:11" x14ac:dyDescent="0.3">
      <c r="A18" s="56"/>
      <c r="B18" s="55"/>
      <c r="H18" s="63">
        <v>2006</v>
      </c>
      <c r="I18" s="63">
        <v>0.21199999999999999</v>
      </c>
      <c r="J18" s="63">
        <v>174628</v>
      </c>
      <c r="K18" s="63">
        <f t="shared" si="0"/>
        <v>37021.135999999999</v>
      </c>
    </row>
    <row r="19" spans="1:11" x14ac:dyDescent="0.3">
      <c r="A19" s="56" t="s">
        <v>17</v>
      </c>
      <c r="B19" s="55"/>
      <c r="H19" s="63">
        <v>2007</v>
      </c>
      <c r="I19" s="63">
        <v>0.224</v>
      </c>
      <c r="J19" s="63">
        <v>103848</v>
      </c>
      <c r="K19" s="63">
        <f t="shared" si="0"/>
        <v>23261.952000000001</v>
      </c>
    </row>
    <row r="20" spans="1:11" x14ac:dyDescent="0.3">
      <c r="A20" s="56" t="s">
        <v>18</v>
      </c>
      <c r="B20" s="55">
        <v>0.01</v>
      </c>
      <c r="H20" s="63">
        <v>2008</v>
      </c>
      <c r="I20" s="63">
        <v>0.24299999999999999</v>
      </c>
      <c r="J20" s="63">
        <v>77862</v>
      </c>
      <c r="K20" s="63">
        <f t="shared" si="0"/>
        <v>18920.466</v>
      </c>
    </row>
    <row r="21" spans="1:11" x14ac:dyDescent="0.3">
      <c r="A21" s="56" t="s">
        <v>19</v>
      </c>
      <c r="B21" s="55">
        <v>3</v>
      </c>
      <c r="H21" s="63">
        <v>2009</v>
      </c>
      <c r="I21" s="63">
        <v>0.23400000000000001</v>
      </c>
      <c r="J21" s="63">
        <v>116499</v>
      </c>
      <c r="K21" s="63">
        <f t="shared" si="0"/>
        <v>27260.766000000003</v>
      </c>
    </row>
    <row r="22" spans="1:11" x14ac:dyDescent="0.3">
      <c r="A22" s="56" t="s">
        <v>20</v>
      </c>
      <c r="B22" s="55">
        <v>52.2</v>
      </c>
      <c r="H22" s="63">
        <v>2010</v>
      </c>
      <c r="I22" s="63">
        <v>0.218</v>
      </c>
      <c r="J22" s="63">
        <v>97834</v>
      </c>
      <c r="K22" s="63">
        <f t="shared" si="0"/>
        <v>21327.812000000002</v>
      </c>
    </row>
    <row r="23" spans="1:11" x14ac:dyDescent="0.3">
      <c r="A23" s="56" t="s">
        <v>21</v>
      </c>
      <c r="B23" s="55">
        <v>0.16</v>
      </c>
      <c r="H23" s="63">
        <v>2005</v>
      </c>
      <c r="I23" s="63">
        <v>0.29899999999999999</v>
      </c>
      <c r="J23" s="63">
        <v>101718</v>
      </c>
      <c r="K23" s="63">
        <f t="shared" si="0"/>
        <v>30413.681999999997</v>
      </c>
    </row>
    <row r="24" spans="1:11" x14ac:dyDescent="0.3">
      <c r="A24" s="56" t="s">
        <v>22</v>
      </c>
      <c r="B24" s="55">
        <v>0</v>
      </c>
      <c r="H24" s="63">
        <v>2006</v>
      </c>
      <c r="I24" s="63">
        <v>0.3</v>
      </c>
      <c r="J24" s="63">
        <v>34383</v>
      </c>
      <c r="K24" s="63">
        <f t="shared" si="0"/>
        <v>10314.9</v>
      </c>
    </row>
    <row r="25" spans="1:11" x14ac:dyDescent="0.3">
      <c r="A25" s="55"/>
      <c r="B25" s="55"/>
      <c r="H25" s="63">
        <v>2007</v>
      </c>
      <c r="I25" s="63">
        <v>0.31900000000000001</v>
      </c>
      <c r="J25" s="63">
        <v>56052</v>
      </c>
      <c r="K25" s="63">
        <f t="shared" si="0"/>
        <v>17880.588</v>
      </c>
    </row>
    <row r="26" spans="1:11" x14ac:dyDescent="0.3">
      <c r="A26" s="56" t="s">
        <v>23</v>
      </c>
      <c r="B26" s="55"/>
      <c r="H26" s="63">
        <v>2008</v>
      </c>
      <c r="I26" s="63">
        <v>0.32600000000000001</v>
      </c>
      <c r="J26" s="63">
        <v>42538</v>
      </c>
      <c r="K26" s="63">
        <f t="shared" si="0"/>
        <v>13867.388000000001</v>
      </c>
    </row>
    <row r="27" spans="1:11" x14ac:dyDescent="0.3">
      <c r="A27" s="56" t="s">
        <v>24</v>
      </c>
      <c r="B27" s="58">
        <f>B22*(1-EXP(-B23*(B5-B24)))</f>
        <v>19.899506947719448</v>
      </c>
      <c r="H27" s="63">
        <v>2009</v>
      </c>
      <c r="I27" s="63">
        <v>0.33800000000000002</v>
      </c>
      <c r="J27" s="63">
        <v>43076</v>
      </c>
      <c r="K27" s="63">
        <f t="shared" si="0"/>
        <v>14559.688</v>
      </c>
    </row>
    <row r="28" spans="1:11" x14ac:dyDescent="0.3">
      <c r="A28" s="56" t="s">
        <v>25</v>
      </c>
      <c r="B28" s="55">
        <f>B22*3/(3+B6/B23)</f>
        <v>43.2</v>
      </c>
      <c r="C28">
        <f>2/3*B22</f>
        <v>34.799999999999997</v>
      </c>
      <c r="H28" s="63">
        <v>2010</v>
      </c>
      <c r="I28" s="63">
        <v>0.307</v>
      </c>
      <c r="J28" s="63">
        <v>80923</v>
      </c>
      <c r="K28" s="63">
        <f t="shared" si="0"/>
        <v>24843.361000000001</v>
      </c>
    </row>
    <row r="29" spans="1:11" x14ac:dyDescent="0.3">
      <c r="A29" s="56" t="s">
        <v>26</v>
      </c>
      <c r="B29" s="58">
        <f>(B13/B20)^(1/B21)</f>
        <v>17.863159877080562</v>
      </c>
      <c r="H29" s="63">
        <v>2005</v>
      </c>
      <c r="I29" s="63">
        <v>0.35299999999999998</v>
      </c>
      <c r="J29" s="63">
        <v>21137</v>
      </c>
      <c r="K29" s="63">
        <f t="shared" si="0"/>
        <v>7461.3609999999999</v>
      </c>
    </row>
    <row r="30" spans="1:11" x14ac:dyDescent="0.3">
      <c r="A30" s="56" t="s">
        <v>27</v>
      </c>
      <c r="B30" s="58">
        <f>(B14/B20)^(1/B21)</f>
        <v>25.738252510168376</v>
      </c>
      <c r="H30" s="63">
        <v>2006</v>
      </c>
      <c r="I30" s="63">
        <v>0.38800000000000001</v>
      </c>
      <c r="J30" s="63">
        <v>44849</v>
      </c>
      <c r="K30" s="63">
        <f t="shared" si="0"/>
        <v>17401.412</v>
      </c>
    </row>
    <row r="31" spans="1:11" x14ac:dyDescent="0.3">
      <c r="A31" s="56" t="s">
        <v>28</v>
      </c>
      <c r="B31" s="58">
        <f>(B22*B23+2*B29*B6)/(B23+2*B6)</f>
        <v>33.123977709489203</v>
      </c>
      <c r="C31" s="65">
        <f>(3*B29+B22)/4</f>
        <v>26.447369907810423</v>
      </c>
      <c r="H31" s="63">
        <v>2007</v>
      </c>
      <c r="I31" s="63">
        <v>0.37</v>
      </c>
      <c r="J31" s="63">
        <v>15707</v>
      </c>
      <c r="K31" s="63">
        <f t="shared" si="0"/>
        <v>5811.59</v>
      </c>
    </row>
    <row r="32" spans="1:11" x14ac:dyDescent="0.3">
      <c r="A32" s="55"/>
      <c r="B32" s="55"/>
      <c r="H32" s="63">
        <v>2008</v>
      </c>
      <c r="I32" s="63">
        <v>0.39200000000000002</v>
      </c>
      <c r="J32" s="63">
        <v>31120</v>
      </c>
      <c r="K32" s="63">
        <f t="shared" si="0"/>
        <v>12199.04</v>
      </c>
    </row>
    <row r="33" spans="1:11" x14ac:dyDescent="0.3">
      <c r="A33" s="55"/>
      <c r="B33" s="55"/>
      <c r="H33" s="63">
        <v>2009</v>
      </c>
      <c r="I33" s="63">
        <v>0.41599999999999998</v>
      </c>
      <c r="J33" s="63">
        <v>22942</v>
      </c>
      <c r="K33" s="63">
        <f t="shared" si="0"/>
        <v>9543.8719999999994</v>
      </c>
    </row>
    <row r="34" spans="1:11" x14ac:dyDescent="0.3">
      <c r="A34" s="56" t="s">
        <v>29</v>
      </c>
      <c r="B34" s="55"/>
      <c r="H34" s="63">
        <v>2010</v>
      </c>
      <c r="I34" s="63">
        <v>0.39300000000000002</v>
      </c>
      <c r="J34" s="63">
        <v>24499</v>
      </c>
      <c r="K34" s="63">
        <f t="shared" si="0"/>
        <v>9628.107</v>
      </c>
    </row>
    <row r="35" spans="1:11" x14ac:dyDescent="0.3">
      <c r="A35" s="56" t="s">
        <v>30</v>
      </c>
      <c r="B35" s="58"/>
      <c r="H35" s="63">
        <v>2005</v>
      </c>
      <c r="I35" s="63">
        <v>0.34200000000000003</v>
      </c>
      <c r="J35" s="63">
        <v>15501</v>
      </c>
      <c r="K35" s="63">
        <f t="shared" si="0"/>
        <v>5301.3420000000006</v>
      </c>
    </row>
    <row r="36" spans="1:11" x14ac:dyDescent="0.3">
      <c r="A36" s="56" t="s">
        <v>31</v>
      </c>
      <c r="B36" s="57">
        <f>B23*(B30-B22)/(B29-B30)-B6</f>
        <v>0.43762918045993349</v>
      </c>
      <c r="H36" s="63">
        <v>2006</v>
      </c>
      <c r="I36" s="63">
        <v>0.40100000000000002</v>
      </c>
      <c r="J36" s="63">
        <v>6804</v>
      </c>
      <c r="K36" s="63">
        <f t="shared" si="0"/>
        <v>2728.404</v>
      </c>
    </row>
    <row r="37" spans="1:11" x14ac:dyDescent="0.3">
      <c r="A37" s="56" t="s">
        <v>16</v>
      </c>
      <c r="B37" s="58">
        <v>4.3765156126559557</v>
      </c>
      <c r="H37" s="63">
        <v>2007</v>
      </c>
      <c r="I37" s="63">
        <v>0.379</v>
      </c>
      <c r="J37" s="63">
        <v>24114</v>
      </c>
      <c r="K37" s="63">
        <f t="shared" si="0"/>
        <v>9139.2060000000001</v>
      </c>
    </row>
    <row r="38" spans="1:11" x14ac:dyDescent="0.3">
      <c r="A38" s="56" t="s">
        <v>32</v>
      </c>
      <c r="B38" s="58">
        <v>1.2402148386066481</v>
      </c>
      <c r="H38" s="63">
        <v>2008</v>
      </c>
      <c r="I38" s="63">
        <v>0.441</v>
      </c>
      <c r="J38" s="63">
        <v>6028</v>
      </c>
      <c r="K38" s="63">
        <f t="shared" si="0"/>
        <v>2658.348</v>
      </c>
    </row>
    <row r="39" spans="1:11" x14ac:dyDescent="0.3">
      <c r="A39" s="56" t="s">
        <v>33</v>
      </c>
      <c r="B39" s="58">
        <v>26.447369907810423</v>
      </c>
      <c r="H39" s="63">
        <v>2009</v>
      </c>
      <c r="I39" s="63">
        <v>0.48299999999999998</v>
      </c>
      <c r="J39" s="63">
        <v>17657</v>
      </c>
      <c r="K39" s="63">
        <f t="shared" si="0"/>
        <v>8528.3310000000001</v>
      </c>
    </row>
    <row r="40" spans="1:11" x14ac:dyDescent="0.3">
      <c r="A40" s="55"/>
      <c r="B40" s="55"/>
      <c r="H40" s="63">
        <v>2010</v>
      </c>
      <c r="I40" s="63">
        <v>0.435</v>
      </c>
      <c r="J40" s="63">
        <v>13465</v>
      </c>
      <c r="K40" s="63">
        <f t="shared" si="0"/>
        <v>5857.2749999999996</v>
      </c>
    </row>
    <row r="41" spans="1:11" x14ac:dyDescent="0.3">
      <c r="H41" s="63">
        <v>2005</v>
      </c>
      <c r="I41" s="63">
        <v>0.45700000000000002</v>
      </c>
      <c r="J41" s="63">
        <v>5479</v>
      </c>
      <c r="K41" s="63">
        <f t="shared" si="0"/>
        <v>2503.9030000000002</v>
      </c>
    </row>
    <row r="42" spans="1:11" x14ac:dyDescent="0.3">
      <c r="H42" s="63">
        <v>2006</v>
      </c>
      <c r="I42" s="63">
        <v>0.441</v>
      </c>
      <c r="J42" s="63">
        <v>5699</v>
      </c>
      <c r="K42" s="63">
        <f t="shared" si="0"/>
        <v>2513.259</v>
      </c>
    </row>
    <row r="43" spans="1:11" x14ac:dyDescent="0.3">
      <c r="H43" s="63">
        <v>2007</v>
      </c>
      <c r="I43" s="63">
        <v>0.51900000000000002</v>
      </c>
      <c r="J43" s="63">
        <v>2629</v>
      </c>
      <c r="K43" s="63">
        <f t="shared" si="0"/>
        <v>1364.451</v>
      </c>
    </row>
    <row r="44" spans="1:11" x14ac:dyDescent="0.3">
      <c r="H44" s="63">
        <v>2008</v>
      </c>
      <c r="I44" s="63">
        <v>0.35799999999999998</v>
      </c>
      <c r="J44" s="63">
        <v>15597</v>
      </c>
      <c r="K44" s="63">
        <f t="shared" si="0"/>
        <v>5583.7259999999997</v>
      </c>
    </row>
    <row r="45" spans="1:11" x14ac:dyDescent="0.3">
      <c r="H45" s="63">
        <v>2009</v>
      </c>
      <c r="I45" s="63">
        <v>0.53800000000000003</v>
      </c>
      <c r="J45" s="63">
        <v>3123</v>
      </c>
      <c r="K45" s="63">
        <f t="shared" si="0"/>
        <v>1680.1740000000002</v>
      </c>
    </row>
    <row r="46" spans="1:11" x14ac:dyDescent="0.3">
      <c r="H46" s="63">
        <v>2010</v>
      </c>
      <c r="I46" s="63">
        <v>0.45500000000000002</v>
      </c>
      <c r="J46" s="63">
        <v>11487</v>
      </c>
      <c r="K46" s="63">
        <f t="shared" si="0"/>
        <v>5226.585</v>
      </c>
    </row>
    <row r="47" spans="1:11" x14ac:dyDescent="0.3">
      <c r="H47" s="63">
        <v>2005</v>
      </c>
      <c r="I47" s="63">
        <v>0.54400000000000004</v>
      </c>
      <c r="J47" s="63">
        <v>2615</v>
      </c>
      <c r="K47" s="63">
        <f t="shared" si="0"/>
        <v>1422.5600000000002</v>
      </c>
    </row>
    <row r="48" spans="1:11" x14ac:dyDescent="0.3">
      <c r="H48" s="63">
        <v>2006</v>
      </c>
      <c r="I48" s="63">
        <v>0.46600000000000003</v>
      </c>
      <c r="J48" s="63">
        <v>2247</v>
      </c>
      <c r="K48" s="63">
        <f t="shared" si="0"/>
        <v>1047.1020000000001</v>
      </c>
    </row>
    <row r="49" spans="8:11" x14ac:dyDescent="0.3">
      <c r="H49" s="63">
        <v>2007</v>
      </c>
      <c r="I49" s="63">
        <v>0.34899999999999998</v>
      </c>
      <c r="J49" s="63">
        <v>3500</v>
      </c>
      <c r="K49" s="63">
        <f t="shared" si="0"/>
        <v>1221.5</v>
      </c>
    </row>
    <row r="50" spans="8:11" x14ac:dyDescent="0.3">
      <c r="H50" s="63">
        <v>2008</v>
      </c>
      <c r="I50" s="63">
        <v>0.46200000000000002</v>
      </c>
      <c r="J50" s="63">
        <v>1797</v>
      </c>
      <c r="K50" s="63">
        <f t="shared" si="0"/>
        <v>830.21400000000006</v>
      </c>
    </row>
    <row r="51" spans="8:11" x14ac:dyDescent="0.3">
      <c r="H51" s="63">
        <v>2009</v>
      </c>
      <c r="I51" s="63">
        <v>0.44800000000000001</v>
      </c>
      <c r="J51" s="63">
        <v>7187</v>
      </c>
      <c r="K51" s="63">
        <f t="shared" si="0"/>
        <v>3219.7759999999998</v>
      </c>
    </row>
    <row r="52" spans="8:11" x14ac:dyDescent="0.3">
      <c r="H52" s="63">
        <v>2010</v>
      </c>
      <c r="I52" s="63">
        <v>0.56599999999999995</v>
      </c>
      <c r="J52" s="63">
        <v>2044</v>
      </c>
      <c r="K52" s="63">
        <f t="shared" si="0"/>
        <v>1156.904</v>
      </c>
    </row>
    <row r="53" spans="8:11" x14ac:dyDescent="0.3">
      <c r="H53" s="63">
        <v>2005</v>
      </c>
      <c r="I53" s="63">
        <v>0.60299999999999998</v>
      </c>
      <c r="J53" s="63">
        <v>2223</v>
      </c>
      <c r="K53" s="63">
        <f t="shared" si="0"/>
        <v>1340.4690000000001</v>
      </c>
    </row>
    <row r="54" spans="8:11" x14ac:dyDescent="0.3">
      <c r="H54" s="63">
        <v>2006</v>
      </c>
      <c r="I54" s="63">
        <v>0.53300000000000003</v>
      </c>
      <c r="J54" s="63">
        <v>1235</v>
      </c>
      <c r="K54" s="63">
        <f t="shared" si="0"/>
        <v>658.255</v>
      </c>
    </row>
    <row r="55" spans="8:11" x14ac:dyDescent="0.3">
      <c r="H55" s="63">
        <v>2007</v>
      </c>
      <c r="I55" s="63">
        <v>0.59</v>
      </c>
      <c r="J55" s="63">
        <v>543</v>
      </c>
      <c r="K55" s="63">
        <f t="shared" si="0"/>
        <v>320.37</v>
      </c>
    </row>
    <row r="56" spans="8:11" x14ac:dyDescent="0.3">
      <c r="H56" s="63">
        <v>2008</v>
      </c>
      <c r="I56" s="63">
        <v>0.64</v>
      </c>
      <c r="J56" s="63">
        <v>673</v>
      </c>
      <c r="K56" s="63">
        <f t="shared" si="0"/>
        <v>430.72</v>
      </c>
    </row>
    <row r="57" spans="8:11" x14ac:dyDescent="0.3">
      <c r="H57" s="63">
        <v>2009</v>
      </c>
      <c r="I57" s="63">
        <v>0.69499999999999995</v>
      </c>
      <c r="J57" s="63">
        <v>556</v>
      </c>
      <c r="K57" s="63">
        <f t="shared" si="0"/>
        <v>386.41999999999996</v>
      </c>
    </row>
    <row r="58" spans="8:11" x14ac:dyDescent="0.3">
      <c r="H58" s="63">
        <v>2010</v>
      </c>
      <c r="I58" s="63">
        <v>0.67900000000000005</v>
      </c>
      <c r="J58" s="63">
        <v>2429</v>
      </c>
      <c r="K58" s="63">
        <f t="shared" si="0"/>
        <v>1649.2910000000002</v>
      </c>
    </row>
    <row r="59" spans="8:11" x14ac:dyDescent="0.3">
      <c r="H59" s="63">
        <v>2005</v>
      </c>
      <c r="I59" s="63">
        <v>0.88800000000000001</v>
      </c>
      <c r="J59" s="63">
        <v>613</v>
      </c>
      <c r="K59" s="63">
        <f t="shared" si="0"/>
        <v>544.34400000000005</v>
      </c>
    </row>
    <row r="60" spans="8:11" x14ac:dyDescent="0.3">
      <c r="H60" s="63">
        <v>2006</v>
      </c>
      <c r="I60" s="63">
        <v>0.755</v>
      </c>
      <c r="J60" s="63">
        <v>1319</v>
      </c>
      <c r="K60" s="63">
        <f t="shared" si="0"/>
        <v>995.84500000000003</v>
      </c>
    </row>
    <row r="61" spans="8:11" x14ac:dyDescent="0.3">
      <c r="H61" s="63">
        <v>2007</v>
      </c>
      <c r="I61" s="63">
        <v>0.61899999999999999</v>
      </c>
      <c r="J61" s="63">
        <v>1259</v>
      </c>
      <c r="K61" s="63">
        <f t="shared" si="0"/>
        <v>779.32100000000003</v>
      </c>
    </row>
    <row r="62" spans="8:11" x14ac:dyDescent="0.3">
      <c r="H62" s="63">
        <v>2008</v>
      </c>
      <c r="I62" s="63">
        <v>0.63700000000000001</v>
      </c>
      <c r="J62" s="63">
        <v>896</v>
      </c>
      <c r="K62" s="63">
        <f t="shared" si="0"/>
        <v>570.75199999999995</v>
      </c>
    </row>
    <row r="63" spans="8:11" x14ac:dyDescent="0.3">
      <c r="H63" s="63">
        <v>2009</v>
      </c>
      <c r="I63" s="63">
        <v>0.82499999999999996</v>
      </c>
      <c r="J63" s="63">
        <v>763</v>
      </c>
      <c r="K63" s="63">
        <f t="shared" si="0"/>
        <v>629.47500000000002</v>
      </c>
    </row>
    <row r="64" spans="8:11" x14ac:dyDescent="0.3">
      <c r="H64" s="63">
        <v>2010</v>
      </c>
      <c r="I64" s="63">
        <v>0.64100000000000001</v>
      </c>
      <c r="J64" s="63">
        <v>1243</v>
      </c>
      <c r="K64" s="63">
        <f t="shared" si="0"/>
        <v>796.76300000000003</v>
      </c>
    </row>
    <row r="65" spans="8:11" x14ac:dyDescent="0.3">
      <c r="H65" t="s">
        <v>42</v>
      </c>
      <c r="J65">
        <f>SUM(J5:J64)</f>
        <v>3637510</v>
      </c>
      <c r="K65" s="63">
        <f>SUM(K5:K64)</f>
        <v>620213.71799999988</v>
      </c>
    </row>
    <row r="66" spans="8:11" x14ac:dyDescent="0.3">
      <c r="H66" t="s">
        <v>78</v>
      </c>
      <c r="K66">
        <f>K65/J65</f>
        <v>0.17050502074221099</v>
      </c>
    </row>
  </sheetData>
  <hyperlinks>
    <hyperlink ref="D1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13" workbookViewId="0">
      <selection activeCell="B16" sqref="B16"/>
    </sheetView>
  </sheetViews>
  <sheetFormatPr defaultColWidth="8.88671875" defaultRowHeight="14.4" x14ac:dyDescent="0.3"/>
  <cols>
    <col min="1" max="1" width="26.6640625" style="63" customWidth="1"/>
    <col min="2" max="16384" width="8.88671875" style="63"/>
  </cols>
  <sheetData>
    <row r="1" spans="1:11" x14ac:dyDescent="0.3">
      <c r="A1" s="64" t="s">
        <v>79</v>
      </c>
      <c r="D1" s="23" t="s">
        <v>81</v>
      </c>
    </row>
    <row r="2" spans="1:11" x14ac:dyDescent="0.3">
      <c r="A2" s="64" t="s">
        <v>3</v>
      </c>
      <c r="D2" s="63" t="s">
        <v>80</v>
      </c>
    </row>
    <row r="3" spans="1:11" x14ac:dyDescent="0.3">
      <c r="A3" s="64" t="s">
        <v>4</v>
      </c>
      <c r="B3" s="63">
        <v>0.3</v>
      </c>
    </row>
    <row r="4" spans="1:11" x14ac:dyDescent="0.3">
      <c r="A4" s="64" t="s">
        <v>5</v>
      </c>
      <c r="B4" s="61">
        <v>200000</v>
      </c>
      <c r="E4" s="64" t="s">
        <v>2</v>
      </c>
      <c r="F4" s="64" t="s">
        <v>0</v>
      </c>
      <c r="I4" s="64" t="s">
        <v>76</v>
      </c>
      <c r="J4" s="64" t="s">
        <v>77</v>
      </c>
    </row>
    <row r="5" spans="1:11" x14ac:dyDescent="0.3">
      <c r="A5" s="64" t="s">
        <v>6</v>
      </c>
      <c r="B5" s="63">
        <v>5</v>
      </c>
      <c r="D5" s="63">
        <v>2005</v>
      </c>
      <c r="E5" s="63">
        <v>0.25</v>
      </c>
      <c r="F5" s="61">
        <v>327700</v>
      </c>
      <c r="H5" s="63">
        <v>2005</v>
      </c>
      <c r="I5" s="63">
        <v>0.71799999999999997</v>
      </c>
      <c r="J5" s="63">
        <v>13922</v>
      </c>
      <c r="K5" s="63">
        <f>J5*I5</f>
        <v>9995.9959999999992</v>
      </c>
    </row>
    <row r="6" spans="1:11" x14ac:dyDescent="0.3">
      <c r="A6" s="64" t="s">
        <v>7</v>
      </c>
      <c r="B6" s="63">
        <v>0.2</v>
      </c>
      <c r="D6" s="63">
        <v>2006</v>
      </c>
      <c r="E6" s="63">
        <v>0.26600000000000001</v>
      </c>
      <c r="F6" s="61">
        <v>312400</v>
      </c>
      <c r="H6" s="63">
        <f>H5+1</f>
        <v>2006</v>
      </c>
      <c r="I6" s="63">
        <v>0.91700000000000004</v>
      </c>
      <c r="J6" s="63">
        <v>9871</v>
      </c>
      <c r="K6" s="63">
        <f t="shared" ref="K6:K60" si="0">J6*I6</f>
        <v>9051.7070000000003</v>
      </c>
    </row>
    <row r="7" spans="1:11" x14ac:dyDescent="0.3">
      <c r="A7" s="64" t="s">
        <v>75</v>
      </c>
      <c r="B7" s="62">
        <f>E12</f>
        <v>0.29614285714285715</v>
      </c>
      <c r="D7" s="63">
        <v>2007</v>
      </c>
      <c r="E7" s="63">
        <v>0.252</v>
      </c>
      <c r="F7" s="61">
        <v>310600</v>
      </c>
      <c r="H7" s="63">
        <f t="shared" ref="H7:H10" si="1">H6+1</f>
        <v>2007</v>
      </c>
      <c r="I7" s="63">
        <v>0.79600000000000004</v>
      </c>
      <c r="J7" s="63">
        <v>17486</v>
      </c>
      <c r="K7" s="63">
        <f t="shared" si="0"/>
        <v>13918.856000000002</v>
      </c>
    </row>
    <row r="8" spans="1:11" x14ac:dyDescent="0.3">
      <c r="A8" s="64" t="s">
        <v>9</v>
      </c>
      <c r="B8" s="62">
        <f>E15</f>
        <v>0.2579918938522664</v>
      </c>
      <c r="D8" s="63">
        <v>2008</v>
      </c>
      <c r="E8" s="63">
        <v>0.34399999999999997</v>
      </c>
      <c r="F8" s="61">
        <v>292100</v>
      </c>
      <c r="H8" s="63">
        <f t="shared" si="1"/>
        <v>2008</v>
      </c>
      <c r="I8" s="63">
        <v>0.95199999999999996</v>
      </c>
      <c r="J8" s="63">
        <v>9692</v>
      </c>
      <c r="K8" s="63">
        <f t="shared" si="0"/>
        <v>9226.7839999999997</v>
      </c>
    </row>
    <row r="9" spans="1:11" x14ac:dyDescent="0.3">
      <c r="A9" s="64" t="s">
        <v>10</v>
      </c>
      <c r="B9" s="62">
        <f>E16</f>
        <v>0.33429382043344791</v>
      </c>
      <c r="D9" s="63">
        <v>2009</v>
      </c>
      <c r="E9" s="63">
        <v>0.38800000000000001</v>
      </c>
      <c r="F9" s="61">
        <v>260800</v>
      </c>
      <c r="H9" s="63">
        <f t="shared" si="1"/>
        <v>2009</v>
      </c>
      <c r="I9" s="63">
        <v>0.74099999999999999</v>
      </c>
      <c r="J9" s="63">
        <v>9325</v>
      </c>
      <c r="K9" s="63">
        <f t="shared" si="0"/>
        <v>6909.8249999999998</v>
      </c>
    </row>
    <row r="10" spans="1:11" x14ac:dyDescent="0.3">
      <c r="A10" s="64" t="s">
        <v>11</v>
      </c>
      <c r="B10" s="61">
        <f>F12</f>
        <v>281271.42857142858</v>
      </c>
      <c r="D10" s="63">
        <v>2010</v>
      </c>
      <c r="E10" s="63">
        <v>0.28899999999999998</v>
      </c>
      <c r="F10" s="61">
        <v>248300</v>
      </c>
      <c r="H10" s="63">
        <f t="shared" si="1"/>
        <v>2010</v>
      </c>
      <c r="I10" s="63">
        <v>0.98499999999999999</v>
      </c>
      <c r="J10" s="63">
        <v>7355</v>
      </c>
      <c r="K10" s="63">
        <f t="shared" si="0"/>
        <v>7244.6750000000002</v>
      </c>
    </row>
    <row r="11" spans="1:11" x14ac:dyDescent="0.3">
      <c r="A11" s="64" t="s">
        <v>12</v>
      </c>
      <c r="B11" s="61">
        <f>F15</f>
        <v>251425.20598520065</v>
      </c>
      <c r="D11" s="63">
        <v>2011</v>
      </c>
      <c r="E11" s="63">
        <v>0.28399999999999997</v>
      </c>
      <c r="F11" s="61">
        <v>217000</v>
      </c>
      <c r="H11" s="63">
        <v>2011</v>
      </c>
      <c r="I11" s="63">
        <v>1.06</v>
      </c>
      <c r="J11" s="63">
        <v>9364</v>
      </c>
      <c r="K11" s="63">
        <f t="shared" si="0"/>
        <v>9925.84</v>
      </c>
    </row>
    <row r="12" spans="1:11" x14ac:dyDescent="0.3">
      <c r="A12" s="64" t="s">
        <v>13</v>
      </c>
      <c r="B12" s="61">
        <f>F16</f>
        <v>311117.65115765651</v>
      </c>
      <c r="D12" s="63" t="s">
        <v>35</v>
      </c>
      <c r="E12" s="62">
        <f>AVERAGE(E5:E11)</f>
        <v>0.29614285714285715</v>
      </c>
      <c r="F12" s="61">
        <f>AVERAGE(F5:F11)</f>
        <v>281271.42857142858</v>
      </c>
      <c r="H12" s="63">
        <v>2005</v>
      </c>
      <c r="I12" s="63">
        <v>1.1559999999999999</v>
      </c>
      <c r="J12" s="63">
        <v>12508</v>
      </c>
      <c r="K12" s="63">
        <f t="shared" si="0"/>
        <v>14459.248</v>
      </c>
    </row>
    <row r="13" spans="1:11" x14ac:dyDescent="0.3">
      <c r="A13" s="64" t="s">
        <v>14</v>
      </c>
      <c r="B13" s="63">
        <f>I5*1000</f>
        <v>718</v>
      </c>
      <c r="D13" s="63" t="s">
        <v>36</v>
      </c>
      <c r="E13" s="62">
        <f>STDEV(E5:E11)</f>
        <v>5.1498959767580371E-2</v>
      </c>
      <c r="F13" s="61">
        <f>STDEV(F5:F11)</f>
        <v>40288.613539713333</v>
      </c>
      <c r="H13" s="63">
        <f>H12+1</f>
        <v>2006</v>
      </c>
      <c r="I13" s="63">
        <v>1.0249999999999999</v>
      </c>
      <c r="J13" s="63">
        <v>28211</v>
      </c>
      <c r="K13" s="63">
        <f t="shared" ref="K13:K18" si="2">J13*I12</f>
        <v>32611.915999999997</v>
      </c>
    </row>
    <row r="14" spans="1:11" x14ac:dyDescent="0.3">
      <c r="A14" s="64" t="s">
        <v>15</v>
      </c>
      <c r="B14" s="9">
        <f>K62*1000</f>
        <v>1736.5609340643673</v>
      </c>
      <c r="D14" s="63" t="s">
        <v>37</v>
      </c>
      <c r="E14" s="62">
        <f>E13/SQRT(COUNT(E5:E11))</f>
        <v>1.9464777189076909E-2</v>
      </c>
      <c r="F14" s="61">
        <f>F13/SQRT(COUNT(F5:F11))</f>
        <v>15227.664584810165</v>
      </c>
      <c r="H14" s="63">
        <f t="shared" ref="H14:H17" si="3">H13+1</f>
        <v>2007</v>
      </c>
      <c r="I14" s="63">
        <v>1.175</v>
      </c>
      <c r="J14" s="63">
        <v>7982</v>
      </c>
      <c r="K14" s="63">
        <f t="shared" si="2"/>
        <v>8181.5499999999993</v>
      </c>
    </row>
    <row r="15" spans="1:11" x14ac:dyDescent="0.3">
      <c r="A15" s="49" t="s">
        <v>65</v>
      </c>
      <c r="B15" s="48">
        <f>B7/B3</f>
        <v>0.98714285714285721</v>
      </c>
      <c r="D15" s="63" t="s">
        <v>38</v>
      </c>
      <c r="E15" s="62">
        <f>E12-1.96*E14</f>
        <v>0.2579918938522664</v>
      </c>
      <c r="F15" s="61">
        <f>F12-1.96*F14</f>
        <v>251425.20598520065</v>
      </c>
      <c r="H15" s="63">
        <f t="shared" si="3"/>
        <v>2008</v>
      </c>
      <c r="I15" s="63">
        <v>1.1759999999999999</v>
      </c>
      <c r="J15" s="63">
        <v>24765</v>
      </c>
      <c r="K15" s="63">
        <f t="shared" si="2"/>
        <v>29098.875</v>
      </c>
    </row>
    <row r="16" spans="1:11" x14ac:dyDescent="0.3">
      <c r="A16" s="64" t="s">
        <v>16</v>
      </c>
      <c r="B16" s="63">
        <v>2.8999999999999995</v>
      </c>
      <c r="D16" s="63" t="s">
        <v>39</v>
      </c>
      <c r="E16" s="62">
        <f>E12+1.96*E14</f>
        <v>0.33429382043344791</v>
      </c>
      <c r="F16" s="61">
        <f>F12+1.96*F14</f>
        <v>311117.65115765651</v>
      </c>
      <c r="H16" s="63">
        <f t="shared" si="3"/>
        <v>2009</v>
      </c>
      <c r="I16" s="63">
        <v>1.226</v>
      </c>
      <c r="J16" s="63">
        <v>13046</v>
      </c>
      <c r="K16" s="63">
        <f t="shared" si="2"/>
        <v>15342.096</v>
      </c>
    </row>
    <row r="17" spans="1:11" x14ac:dyDescent="0.3">
      <c r="H17" s="63">
        <f t="shared" si="3"/>
        <v>2010</v>
      </c>
      <c r="I17" s="63">
        <v>1.4359999999999999</v>
      </c>
      <c r="J17" s="63">
        <v>8299</v>
      </c>
      <c r="K17" s="63">
        <f t="shared" si="2"/>
        <v>10174.574000000001</v>
      </c>
    </row>
    <row r="18" spans="1:11" x14ac:dyDescent="0.3">
      <c r="A18" s="64"/>
      <c r="H18" s="63">
        <v>2011</v>
      </c>
      <c r="I18" s="63">
        <v>1.321</v>
      </c>
      <c r="J18" s="63">
        <v>20559</v>
      </c>
      <c r="K18" s="63">
        <f t="shared" si="2"/>
        <v>29522.723999999998</v>
      </c>
    </row>
    <row r="19" spans="1:11" x14ac:dyDescent="0.3">
      <c r="A19" s="64" t="s">
        <v>17</v>
      </c>
      <c r="H19" s="63">
        <v>2005</v>
      </c>
      <c r="I19" s="63">
        <v>1.4019999999999999</v>
      </c>
      <c r="J19" s="63">
        <v>16861</v>
      </c>
      <c r="K19" s="63">
        <f t="shared" si="0"/>
        <v>23639.121999999999</v>
      </c>
    </row>
    <row r="20" spans="1:11" x14ac:dyDescent="0.3">
      <c r="A20" s="64" t="s">
        <v>18</v>
      </c>
      <c r="B20" s="63">
        <v>0.01</v>
      </c>
      <c r="H20" s="63">
        <f>H19+1</f>
        <v>2006</v>
      </c>
      <c r="I20" s="63">
        <v>1.3839999999999999</v>
      </c>
      <c r="J20" s="63">
        <v>12355</v>
      </c>
      <c r="K20" s="63">
        <f t="shared" si="0"/>
        <v>17099.32</v>
      </c>
    </row>
    <row r="21" spans="1:11" x14ac:dyDescent="0.3">
      <c r="A21" s="64" t="s">
        <v>19</v>
      </c>
      <c r="B21" s="63">
        <v>2.97</v>
      </c>
      <c r="H21" s="63">
        <f t="shared" ref="H21:H24" si="4">H20+1</f>
        <v>2007</v>
      </c>
      <c r="I21" s="63">
        <v>1.2390000000000001</v>
      </c>
      <c r="J21" s="63">
        <v>21443</v>
      </c>
      <c r="K21" s="63">
        <f t="shared" si="0"/>
        <v>26567.877</v>
      </c>
    </row>
    <row r="22" spans="1:11" x14ac:dyDescent="0.3">
      <c r="A22" s="64" t="s">
        <v>20</v>
      </c>
      <c r="B22" s="63">
        <v>128</v>
      </c>
      <c r="H22" s="63">
        <f t="shared" si="4"/>
        <v>2008</v>
      </c>
      <c r="I22" s="63">
        <v>1.532</v>
      </c>
      <c r="J22" s="63">
        <v>8119</v>
      </c>
      <c r="K22" s="63">
        <f t="shared" si="0"/>
        <v>12438.308000000001</v>
      </c>
    </row>
    <row r="23" spans="1:11" x14ac:dyDescent="0.3">
      <c r="A23" s="64" t="s">
        <v>21</v>
      </c>
      <c r="B23" s="63">
        <v>0.13</v>
      </c>
      <c r="H23" s="63">
        <f t="shared" si="4"/>
        <v>2009</v>
      </c>
      <c r="I23" s="63">
        <v>1.52</v>
      </c>
      <c r="J23" s="63">
        <v>16674</v>
      </c>
      <c r="K23" s="63">
        <f t="shared" si="0"/>
        <v>25344.48</v>
      </c>
    </row>
    <row r="24" spans="1:11" x14ac:dyDescent="0.3">
      <c r="A24" s="64" t="s">
        <v>22</v>
      </c>
      <c r="B24" s="63">
        <v>-0.9</v>
      </c>
      <c r="H24" s="63">
        <f t="shared" si="4"/>
        <v>2010</v>
      </c>
      <c r="I24" s="63">
        <v>1.944</v>
      </c>
      <c r="J24" s="63">
        <v>7842</v>
      </c>
      <c r="K24" s="63">
        <f t="shared" si="0"/>
        <v>15244.848</v>
      </c>
    </row>
    <row r="25" spans="1:11" x14ac:dyDescent="0.3">
      <c r="H25" s="63">
        <v>2011</v>
      </c>
      <c r="I25" s="63">
        <v>1.845</v>
      </c>
      <c r="J25" s="63">
        <v>5943</v>
      </c>
      <c r="K25" s="63">
        <f t="shared" si="0"/>
        <v>10964.834999999999</v>
      </c>
    </row>
    <row r="26" spans="1:11" x14ac:dyDescent="0.3">
      <c r="A26" s="64" t="s">
        <v>23</v>
      </c>
      <c r="H26" s="63">
        <v>2005</v>
      </c>
      <c r="I26" s="63">
        <v>1.724</v>
      </c>
      <c r="J26" s="63">
        <v>17796</v>
      </c>
      <c r="K26" s="63">
        <f t="shared" si="0"/>
        <v>30680.304</v>
      </c>
    </row>
    <row r="27" spans="1:11" x14ac:dyDescent="0.3">
      <c r="A27" s="64" t="s">
        <v>24</v>
      </c>
      <c r="B27" s="65">
        <f>B22*(1-EXP(-B23*(B5-B24)))</f>
        <v>68.556263275508286</v>
      </c>
      <c r="H27" s="63">
        <f>H26+1</f>
        <v>2006</v>
      </c>
      <c r="I27" s="63">
        <v>1.784</v>
      </c>
      <c r="J27" s="63">
        <v>9364</v>
      </c>
      <c r="K27" s="63">
        <f t="shared" si="0"/>
        <v>16705.376</v>
      </c>
    </row>
    <row r="28" spans="1:11" x14ac:dyDescent="0.3">
      <c r="A28" s="64" t="s">
        <v>25</v>
      </c>
      <c r="B28" s="65">
        <f>B22*3/(3+B6/B23)</f>
        <v>84.610169491525426</v>
      </c>
      <c r="C28" s="65">
        <f>2/3*B22</f>
        <v>85.333333333333329</v>
      </c>
      <c r="H28" s="63">
        <f t="shared" ref="H28:H31" si="5">H27+1</f>
        <v>2007</v>
      </c>
      <c r="I28" s="63">
        <v>1.7410000000000001</v>
      </c>
      <c r="J28" s="63">
        <v>7367</v>
      </c>
      <c r="K28" s="63">
        <f t="shared" si="0"/>
        <v>12825.947</v>
      </c>
    </row>
    <row r="29" spans="1:11" x14ac:dyDescent="0.3">
      <c r="A29" s="64" t="s">
        <v>26</v>
      </c>
      <c r="B29" s="65">
        <f>(B13/B20)^(1/B21)</f>
        <v>43.157744085442204</v>
      </c>
      <c r="H29" s="63">
        <f t="shared" si="5"/>
        <v>2008</v>
      </c>
      <c r="I29" s="63">
        <v>1.77</v>
      </c>
      <c r="J29" s="63">
        <v>17113</v>
      </c>
      <c r="K29" s="63">
        <f t="shared" si="0"/>
        <v>30290.010000000002</v>
      </c>
    </row>
    <row r="30" spans="1:11" x14ac:dyDescent="0.3">
      <c r="A30" s="64" t="s">
        <v>27</v>
      </c>
      <c r="B30" s="65">
        <f>(B14/B20)^(1/B21)</f>
        <v>58.103915055828416</v>
      </c>
      <c r="H30" s="63">
        <f t="shared" si="5"/>
        <v>2009</v>
      </c>
      <c r="I30" s="63">
        <v>2.0529999999999999</v>
      </c>
      <c r="J30" s="63">
        <v>4970</v>
      </c>
      <c r="K30" s="63">
        <f t="shared" si="0"/>
        <v>10203.41</v>
      </c>
    </row>
    <row r="31" spans="1:11" x14ac:dyDescent="0.3">
      <c r="A31" s="64" t="s">
        <v>28</v>
      </c>
      <c r="B31" s="65">
        <f>(B22*B23+2*B29*B6)/(B23+2*B6)</f>
        <v>63.968108743729971</v>
      </c>
      <c r="C31" s="65">
        <f>(3*B29+B22)/4</f>
        <v>64.368308064081646</v>
      </c>
      <c r="H31" s="63">
        <f t="shared" si="5"/>
        <v>2010</v>
      </c>
      <c r="I31" s="63">
        <v>2.5659999999999998</v>
      </c>
      <c r="J31" s="63">
        <v>6159</v>
      </c>
      <c r="K31" s="63">
        <f t="shared" si="0"/>
        <v>15803.993999999999</v>
      </c>
    </row>
    <row r="32" spans="1:11" x14ac:dyDescent="0.3">
      <c r="H32" s="63">
        <v>2011</v>
      </c>
      <c r="I32" s="63">
        <v>2.54</v>
      </c>
      <c r="J32" s="63">
        <v>4414</v>
      </c>
      <c r="K32" s="63">
        <f t="shared" si="0"/>
        <v>11211.56</v>
      </c>
    </row>
    <row r="33" spans="1:11" x14ac:dyDescent="0.3">
      <c r="H33" s="63">
        <v>2005</v>
      </c>
      <c r="I33" s="63">
        <v>2.1520000000000001</v>
      </c>
      <c r="J33" s="63">
        <v>11585</v>
      </c>
      <c r="K33" s="63">
        <f t="shared" si="0"/>
        <v>24930.920000000002</v>
      </c>
    </row>
    <row r="34" spans="1:11" x14ac:dyDescent="0.3">
      <c r="A34" s="64" t="s">
        <v>29</v>
      </c>
      <c r="H34" s="63">
        <f>H33+1</f>
        <v>2006</v>
      </c>
      <c r="I34" s="63">
        <v>2.133</v>
      </c>
      <c r="J34" s="63">
        <v>11375</v>
      </c>
      <c r="K34" s="63">
        <f t="shared" si="0"/>
        <v>24262.875</v>
      </c>
    </row>
    <row r="35" spans="1:11" x14ac:dyDescent="0.3">
      <c r="A35" s="64" t="s">
        <v>30</v>
      </c>
      <c r="B35" s="65"/>
      <c r="H35" s="63">
        <f t="shared" ref="H35:H38" si="6">H34+1</f>
        <v>2007</v>
      </c>
      <c r="I35" s="63">
        <v>2.1440000000000001</v>
      </c>
      <c r="J35" s="63">
        <v>5639</v>
      </c>
      <c r="K35" s="63">
        <f t="shared" si="0"/>
        <v>12090.016000000001</v>
      </c>
    </row>
    <row r="36" spans="1:11" x14ac:dyDescent="0.3">
      <c r="A36" s="64" t="s">
        <v>31</v>
      </c>
      <c r="B36" s="62">
        <f>B23*(B30-B22)/(B29-B30)-B6</f>
        <v>0.4079477520192924</v>
      </c>
      <c r="H36" s="63">
        <f t="shared" si="6"/>
        <v>2008</v>
      </c>
      <c r="I36" s="63">
        <v>2.4569999999999999</v>
      </c>
      <c r="J36" s="63">
        <v>4561</v>
      </c>
      <c r="K36" s="63">
        <f t="shared" si="0"/>
        <v>11206.376999999999</v>
      </c>
    </row>
    <row r="37" spans="1:11" x14ac:dyDescent="0.3">
      <c r="A37" s="64" t="s">
        <v>16</v>
      </c>
      <c r="B37" s="62">
        <f>B23*(B22-B30)/(B6*(B30-B29))-1</f>
        <v>2.0397387600964616</v>
      </c>
      <c r="H37" s="63">
        <f t="shared" si="6"/>
        <v>2009</v>
      </c>
      <c r="I37" s="63">
        <v>2.3210000000000002</v>
      </c>
      <c r="J37" s="63">
        <v>10604</v>
      </c>
      <c r="K37" s="63">
        <f t="shared" si="0"/>
        <v>24611.884000000002</v>
      </c>
    </row>
    <row r="38" spans="1:11" x14ac:dyDescent="0.3">
      <c r="A38" s="64" t="s">
        <v>32</v>
      </c>
      <c r="B38" s="65">
        <f>2*(B22-B30)/(3*(B30-B29))-1</f>
        <v>2.1176807795861152</v>
      </c>
      <c r="H38" s="63">
        <f t="shared" si="6"/>
        <v>2010</v>
      </c>
      <c r="I38" s="63">
        <v>3.081</v>
      </c>
      <c r="J38" s="63">
        <v>3281</v>
      </c>
      <c r="K38" s="63">
        <f t="shared" si="0"/>
        <v>10108.761</v>
      </c>
    </row>
    <row r="39" spans="1:11" x14ac:dyDescent="0.3">
      <c r="A39" s="64" t="s">
        <v>33</v>
      </c>
      <c r="B39" s="65">
        <f>(3*B29+B22)/4</f>
        <v>64.368308064081646</v>
      </c>
      <c r="H39" s="63">
        <v>2011</v>
      </c>
      <c r="I39" s="63">
        <v>3.0070000000000001</v>
      </c>
      <c r="J39" s="63">
        <v>2488</v>
      </c>
      <c r="K39" s="63">
        <f t="shared" si="0"/>
        <v>7481.4160000000002</v>
      </c>
    </row>
    <row r="40" spans="1:11" x14ac:dyDescent="0.3">
      <c r="H40" s="63">
        <v>2005</v>
      </c>
      <c r="I40" s="63">
        <v>3.2410000000000001</v>
      </c>
      <c r="J40" s="63">
        <v>2838</v>
      </c>
      <c r="K40" s="63">
        <f t="shared" si="0"/>
        <v>9197.9580000000005</v>
      </c>
    </row>
    <row r="41" spans="1:11" x14ac:dyDescent="0.3">
      <c r="H41" s="63">
        <f>H40+1</f>
        <v>2006</v>
      </c>
      <c r="I41" s="63">
        <v>2.6469999999999998</v>
      </c>
      <c r="J41" s="63">
        <v>5958</v>
      </c>
      <c r="K41" s="63">
        <f t="shared" si="0"/>
        <v>15770.825999999999</v>
      </c>
    </row>
    <row r="42" spans="1:11" x14ac:dyDescent="0.3">
      <c r="H42" s="63">
        <f t="shared" ref="H42:H45" si="7">H41+1</f>
        <v>2007</v>
      </c>
      <c r="I42" s="63">
        <v>2.8559999999999999</v>
      </c>
      <c r="J42" s="63">
        <v>5230</v>
      </c>
      <c r="K42" s="63">
        <f t="shared" si="0"/>
        <v>14936.88</v>
      </c>
    </row>
    <row r="43" spans="1:11" x14ac:dyDescent="0.3">
      <c r="H43" s="63">
        <f t="shared" si="7"/>
        <v>2008</v>
      </c>
      <c r="I43" s="63">
        <v>3.028</v>
      </c>
      <c r="J43" s="63">
        <v>3418</v>
      </c>
      <c r="K43" s="63">
        <f t="shared" si="0"/>
        <v>10349.704</v>
      </c>
    </row>
    <row r="44" spans="1:11" x14ac:dyDescent="0.3">
      <c r="H44" s="63">
        <f t="shared" si="7"/>
        <v>2009</v>
      </c>
      <c r="I44" s="63">
        <v>2.9710000000000001</v>
      </c>
      <c r="J44" s="63">
        <v>3600</v>
      </c>
      <c r="K44" s="63">
        <f t="shared" si="0"/>
        <v>10695.6</v>
      </c>
    </row>
    <row r="45" spans="1:11" x14ac:dyDescent="0.3">
      <c r="H45" s="63">
        <f t="shared" si="7"/>
        <v>2010</v>
      </c>
      <c r="I45" s="63">
        <v>3.4940000000000002</v>
      </c>
      <c r="J45" s="63">
        <v>4052</v>
      </c>
      <c r="K45" s="63">
        <f t="shared" si="0"/>
        <v>14157.688</v>
      </c>
    </row>
    <row r="46" spans="1:11" x14ac:dyDescent="0.3">
      <c r="H46" s="63">
        <v>2011</v>
      </c>
      <c r="I46" s="63">
        <v>3.5230000000000001</v>
      </c>
      <c r="J46" s="63">
        <v>1510</v>
      </c>
      <c r="K46" s="63">
        <f t="shared" si="0"/>
        <v>5319.7300000000005</v>
      </c>
    </row>
    <row r="47" spans="1:11" x14ac:dyDescent="0.3">
      <c r="H47" s="63">
        <v>2005</v>
      </c>
      <c r="I47" s="63">
        <v>4.0890000000000004</v>
      </c>
      <c r="J47" s="63">
        <v>2248</v>
      </c>
      <c r="K47" s="63">
        <f t="shared" si="0"/>
        <v>9192.0720000000001</v>
      </c>
    </row>
    <row r="48" spans="1:11" x14ac:dyDescent="0.3">
      <c r="H48" s="63">
        <f>H47+1</f>
        <v>2006</v>
      </c>
      <c r="I48" s="63">
        <v>3.8849999999999998</v>
      </c>
      <c r="J48" s="63">
        <v>1545</v>
      </c>
      <c r="K48" s="63">
        <f t="shared" si="0"/>
        <v>6002.3249999999998</v>
      </c>
    </row>
    <row r="49" spans="8:11" x14ac:dyDescent="0.3">
      <c r="H49" s="63">
        <f t="shared" ref="H49:H52" si="8">H48+1</f>
        <v>2007</v>
      </c>
      <c r="I49" s="63">
        <v>3.4950000000000001</v>
      </c>
      <c r="J49" s="63">
        <v>1800</v>
      </c>
      <c r="K49" s="63">
        <f t="shared" si="0"/>
        <v>6291</v>
      </c>
    </row>
    <row r="50" spans="8:11" x14ac:dyDescent="0.3">
      <c r="H50" s="63">
        <f t="shared" si="8"/>
        <v>2008</v>
      </c>
      <c r="I50" s="63">
        <v>3.6</v>
      </c>
      <c r="J50" s="63">
        <v>2407</v>
      </c>
      <c r="K50" s="63">
        <f t="shared" si="0"/>
        <v>8665.2000000000007</v>
      </c>
    </row>
    <row r="51" spans="8:11" x14ac:dyDescent="0.3">
      <c r="H51" s="63">
        <f t="shared" si="8"/>
        <v>2009</v>
      </c>
      <c r="I51" s="63">
        <v>3.5009999999999999</v>
      </c>
      <c r="J51" s="63">
        <v>2226</v>
      </c>
      <c r="K51" s="63">
        <f t="shared" si="0"/>
        <v>7793.2259999999997</v>
      </c>
    </row>
    <row r="52" spans="8:11" x14ac:dyDescent="0.3">
      <c r="H52" s="63">
        <f t="shared" si="8"/>
        <v>2010</v>
      </c>
      <c r="I52" s="63">
        <v>3.9449999999999998</v>
      </c>
      <c r="J52" s="63">
        <v>2153</v>
      </c>
      <c r="K52" s="63">
        <f t="shared" si="0"/>
        <v>8493.5849999999991</v>
      </c>
    </row>
    <row r="53" spans="8:11" x14ac:dyDescent="0.3">
      <c r="H53" s="63">
        <v>2011</v>
      </c>
      <c r="I53" s="63">
        <v>3.8079999999999998</v>
      </c>
      <c r="J53" s="63">
        <v>2635</v>
      </c>
      <c r="K53" s="63">
        <f t="shared" si="0"/>
        <v>10034.08</v>
      </c>
    </row>
    <row r="54" spans="8:11" x14ac:dyDescent="0.3">
      <c r="H54" s="63">
        <v>2005</v>
      </c>
      <c r="I54" s="63">
        <v>5.2619999999999996</v>
      </c>
      <c r="J54" s="63">
        <v>460</v>
      </c>
      <c r="K54" s="63">
        <f t="shared" si="0"/>
        <v>2420.52</v>
      </c>
    </row>
    <row r="55" spans="8:11" x14ac:dyDescent="0.3">
      <c r="H55" s="63">
        <f>H54+1</f>
        <v>2006</v>
      </c>
      <c r="I55" s="63">
        <v>5.492</v>
      </c>
      <c r="J55" s="63">
        <v>1432</v>
      </c>
      <c r="K55" s="63">
        <f t="shared" si="0"/>
        <v>7864.5439999999999</v>
      </c>
    </row>
    <row r="56" spans="8:11" x14ac:dyDescent="0.3">
      <c r="H56" s="63">
        <f t="shared" ref="H56:H59" si="9">H55+1</f>
        <v>2007</v>
      </c>
      <c r="I56" s="63">
        <v>5.335</v>
      </c>
      <c r="J56" s="63">
        <v>975</v>
      </c>
      <c r="K56" s="63">
        <f t="shared" si="0"/>
        <v>5201.625</v>
      </c>
    </row>
    <row r="57" spans="8:11" x14ac:dyDescent="0.3">
      <c r="H57" s="63">
        <f t="shared" si="9"/>
        <v>2008</v>
      </c>
      <c r="I57" s="63">
        <v>4.5999999999999996</v>
      </c>
      <c r="J57" s="63">
        <v>1737</v>
      </c>
      <c r="K57" s="63">
        <f t="shared" si="0"/>
        <v>7990.2</v>
      </c>
    </row>
    <row r="58" spans="8:11" x14ac:dyDescent="0.3">
      <c r="H58" s="63">
        <f t="shared" si="9"/>
        <v>2009</v>
      </c>
      <c r="I58" s="63">
        <v>4.4420000000000002</v>
      </c>
      <c r="J58" s="63">
        <v>3191</v>
      </c>
      <c r="K58" s="63">
        <f t="shared" si="0"/>
        <v>14174.422</v>
      </c>
    </row>
    <row r="59" spans="8:11" x14ac:dyDescent="0.3">
      <c r="H59" s="63">
        <f t="shared" si="9"/>
        <v>2010</v>
      </c>
      <c r="I59" s="63">
        <v>4.96</v>
      </c>
      <c r="J59" s="63">
        <v>3919</v>
      </c>
      <c r="K59" s="63">
        <f t="shared" si="0"/>
        <v>19438.240000000002</v>
      </c>
    </row>
    <row r="60" spans="8:11" x14ac:dyDescent="0.3">
      <c r="H60" s="63">
        <v>2011</v>
      </c>
      <c r="I60" s="63">
        <v>4.1870000000000003</v>
      </c>
      <c r="J60" s="63">
        <v>4485</v>
      </c>
      <c r="K60" s="63">
        <f t="shared" si="0"/>
        <v>18778.695</v>
      </c>
    </row>
    <row r="61" spans="8:11" x14ac:dyDescent="0.3">
      <c r="H61" s="63" t="s">
        <v>42</v>
      </c>
      <c r="J61" s="63">
        <f>SUM(J5:J60)</f>
        <v>456157</v>
      </c>
      <c r="K61" s="63">
        <f t="shared" ref="K61" si="10">SUM(K5:K60)</f>
        <v>792144.42599999963</v>
      </c>
    </row>
    <row r="62" spans="8:11" x14ac:dyDescent="0.3">
      <c r="H62" s="63" t="s">
        <v>78</v>
      </c>
      <c r="K62" s="63">
        <f>K61/J61</f>
        <v>1.7365609340643673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7" workbookViewId="0">
      <selection activeCell="B28" sqref="B28"/>
    </sheetView>
  </sheetViews>
  <sheetFormatPr defaultRowHeight="14.4" x14ac:dyDescent="0.3"/>
  <cols>
    <col min="1" max="1" width="36.44140625" customWidth="1"/>
    <col min="2" max="2" width="14.33203125" customWidth="1"/>
  </cols>
  <sheetData>
    <row r="1" spans="1:12" ht="15" x14ac:dyDescent="0.25">
      <c r="A1" s="64" t="s">
        <v>116</v>
      </c>
      <c r="B1" s="63"/>
      <c r="C1" s="63"/>
      <c r="D1" s="23" t="s">
        <v>117</v>
      </c>
      <c r="E1" s="63"/>
      <c r="F1" s="63"/>
      <c r="G1" s="63"/>
      <c r="H1" s="63"/>
      <c r="I1" s="63"/>
      <c r="J1" s="63"/>
      <c r="K1" s="63"/>
      <c r="L1" s="63"/>
    </row>
    <row r="2" spans="1:12" ht="15" x14ac:dyDescent="0.25">
      <c r="A2" s="64" t="s">
        <v>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 x14ac:dyDescent="0.25">
      <c r="A3" s="64" t="s">
        <v>4</v>
      </c>
      <c r="B3" s="63">
        <v>0.19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" x14ac:dyDescent="0.25">
      <c r="A4" s="64" t="s">
        <v>5</v>
      </c>
      <c r="B4" s="61">
        <v>150000</v>
      </c>
      <c r="C4" s="63"/>
      <c r="D4" s="63"/>
      <c r="E4" s="64" t="s">
        <v>2</v>
      </c>
      <c r="F4" s="64" t="s">
        <v>0</v>
      </c>
      <c r="G4" s="63"/>
      <c r="H4" s="63"/>
      <c r="I4" s="64" t="s">
        <v>76</v>
      </c>
      <c r="J4" s="64" t="s">
        <v>77</v>
      </c>
      <c r="K4" s="63"/>
      <c r="L4" s="63"/>
    </row>
    <row r="5" spans="1:12" ht="15" x14ac:dyDescent="0.25">
      <c r="A5" s="64" t="s">
        <v>6</v>
      </c>
      <c r="B5" s="63">
        <v>4</v>
      </c>
      <c r="C5" s="63"/>
      <c r="D5" s="63">
        <v>2005</v>
      </c>
      <c r="E5" s="63">
        <v>0.8</v>
      </c>
      <c r="F5" s="61">
        <v>47052</v>
      </c>
      <c r="G5" s="63"/>
      <c r="H5" s="68">
        <v>2005</v>
      </c>
      <c r="I5" s="68">
        <v>0.34799999999999998</v>
      </c>
      <c r="J5" s="68">
        <v>12792</v>
      </c>
      <c r="K5" s="63">
        <f>J5*I5</f>
        <v>4451.616</v>
      </c>
      <c r="L5" s="63"/>
    </row>
    <row r="6" spans="1:12" ht="15" x14ac:dyDescent="0.25">
      <c r="A6" s="64" t="s">
        <v>7</v>
      </c>
      <c r="B6" s="63">
        <v>0.21</v>
      </c>
      <c r="C6" s="63"/>
      <c r="D6" s="63">
        <v>2006</v>
      </c>
      <c r="E6" s="63">
        <v>0.72299999999999998</v>
      </c>
      <c r="F6" s="61">
        <v>41606</v>
      </c>
      <c r="G6" s="63"/>
      <c r="H6" s="68">
        <v>2006</v>
      </c>
      <c r="I6" s="68">
        <v>0.217</v>
      </c>
      <c r="J6" s="68">
        <v>28596</v>
      </c>
      <c r="K6" s="68">
        <f t="shared" ref="K6:K69" si="0">J6*I6</f>
        <v>6205.3320000000003</v>
      </c>
      <c r="L6" s="63"/>
    </row>
    <row r="7" spans="1:12" ht="15" x14ac:dyDescent="0.25">
      <c r="A7" s="64" t="s">
        <v>75</v>
      </c>
      <c r="B7" s="62">
        <f>E12</f>
        <v>0.65414285714285714</v>
      </c>
      <c r="C7" s="63"/>
      <c r="D7" s="63">
        <v>2007</v>
      </c>
      <c r="E7" s="63">
        <v>0.66900000000000004</v>
      </c>
      <c r="F7" s="61">
        <v>56106</v>
      </c>
      <c r="G7" s="63"/>
      <c r="H7" s="68">
        <v>2007</v>
      </c>
      <c r="I7" s="68">
        <v>0.27600000000000002</v>
      </c>
      <c r="J7" s="68">
        <v>15862</v>
      </c>
      <c r="K7" s="68">
        <f t="shared" si="0"/>
        <v>4377.9120000000003</v>
      </c>
      <c r="L7" s="63"/>
    </row>
    <row r="8" spans="1:12" ht="15" x14ac:dyDescent="0.25">
      <c r="A8" s="64" t="s">
        <v>9</v>
      </c>
      <c r="B8" s="62">
        <f>E15</f>
        <v>0.5926460344607053</v>
      </c>
      <c r="C8" s="63"/>
      <c r="D8" s="63">
        <v>2008</v>
      </c>
      <c r="E8" s="63">
        <v>0.63</v>
      </c>
      <c r="F8" s="61">
        <v>54122</v>
      </c>
      <c r="G8" s="63"/>
      <c r="H8" s="68">
        <v>2008</v>
      </c>
      <c r="I8" s="68">
        <v>0.33</v>
      </c>
      <c r="J8" s="68">
        <v>8940</v>
      </c>
      <c r="K8" s="68">
        <f t="shared" si="0"/>
        <v>2950.2000000000003</v>
      </c>
      <c r="L8" s="63"/>
    </row>
    <row r="9" spans="1:12" ht="15" x14ac:dyDescent="0.25">
      <c r="A9" s="64" t="s">
        <v>10</v>
      </c>
      <c r="B9" s="62">
        <f>E16</f>
        <v>0.71563967982500898</v>
      </c>
      <c r="C9" s="63"/>
      <c r="D9" s="63">
        <v>2009</v>
      </c>
      <c r="E9" s="63">
        <v>0.60199999999999998</v>
      </c>
      <c r="F9" s="61">
        <v>56897</v>
      </c>
      <c r="G9" s="63"/>
      <c r="H9" s="68">
        <v>2009</v>
      </c>
      <c r="I9" s="68">
        <v>0.39</v>
      </c>
      <c r="J9" s="68">
        <v>9220</v>
      </c>
      <c r="K9" s="68">
        <f t="shared" si="0"/>
        <v>3595.8</v>
      </c>
      <c r="L9" s="63"/>
    </row>
    <row r="10" spans="1:12" ht="15" x14ac:dyDescent="0.25">
      <c r="A10" s="64" t="s">
        <v>11</v>
      </c>
      <c r="B10" s="61">
        <f>F12</f>
        <v>54929.571428571428</v>
      </c>
      <c r="C10" s="63"/>
      <c r="D10" s="63">
        <v>2010</v>
      </c>
      <c r="E10" s="63">
        <v>0.58299999999999996</v>
      </c>
      <c r="F10" s="61">
        <v>61821</v>
      </c>
      <c r="G10" s="63"/>
      <c r="H10" s="68">
        <v>2010</v>
      </c>
      <c r="I10" s="68">
        <v>0.29299999999999998</v>
      </c>
      <c r="J10" s="68">
        <v>10347</v>
      </c>
      <c r="K10" s="68">
        <f t="shared" si="0"/>
        <v>3031.6709999999998</v>
      </c>
      <c r="L10" s="63"/>
    </row>
    <row r="11" spans="1:12" ht="15" x14ac:dyDescent="0.25">
      <c r="A11" s="64" t="s">
        <v>12</v>
      </c>
      <c r="B11" s="61">
        <f>F15</f>
        <v>48612.123812832928</v>
      </c>
      <c r="C11" s="63"/>
      <c r="D11" s="63">
        <v>2011</v>
      </c>
      <c r="E11" s="63">
        <v>0.57199999999999995</v>
      </c>
      <c r="F11" s="61">
        <v>66903</v>
      </c>
      <c r="G11" s="63"/>
      <c r="H11" s="68">
        <v>2011</v>
      </c>
      <c r="I11" s="68">
        <v>0.33500000000000002</v>
      </c>
      <c r="J11" s="68">
        <v>5385</v>
      </c>
      <c r="K11" s="68">
        <f t="shared" si="0"/>
        <v>1803.9750000000001</v>
      </c>
      <c r="L11" s="63"/>
    </row>
    <row r="12" spans="1:12" ht="15" x14ac:dyDescent="0.25">
      <c r="A12" s="64" t="s">
        <v>13</v>
      </c>
      <c r="B12" s="61">
        <f>F16</f>
        <v>61247.019044309927</v>
      </c>
      <c r="C12" s="63"/>
      <c r="D12" s="63" t="s">
        <v>35</v>
      </c>
      <c r="E12" s="62">
        <f>AVERAGE(E5:E11)</f>
        <v>0.65414285714285714</v>
      </c>
      <c r="F12" s="61">
        <f>AVERAGE(F5:F11)</f>
        <v>54929.571428571428</v>
      </c>
      <c r="G12" s="63"/>
      <c r="H12" s="68">
        <v>2005</v>
      </c>
      <c r="I12" s="68">
        <v>0.89500000000000002</v>
      </c>
      <c r="J12" s="68">
        <v>13883</v>
      </c>
      <c r="K12" s="68">
        <f t="shared" si="0"/>
        <v>12425.285</v>
      </c>
      <c r="L12" s="63"/>
    </row>
    <row r="13" spans="1:12" ht="15" x14ac:dyDescent="0.25">
      <c r="A13" s="64" t="s">
        <v>14</v>
      </c>
      <c r="B13" s="63">
        <v>217</v>
      </c>
      <c r="C13" s="63"/>
      <c r="D13" s="63" t="s">
        <v>36</v>
      </c>
      <c r="E13" s="62">
        <f>STDEV(E5:E11)</f>
        <v>8.3012907774290809E-2</v>
      </c>
      <c r="F13" s="61">
        <f>STDEV(F5:F11)</f>
        <v>8527.7527101642936</v>
      </c>
      <c r="G13" s="63"/>
      <c r="H13" s="68">
        <v>2006</v>
      </c>
      <c r="I13" s="68">
        <v>0.77100000000000002</v>
      </c>
      <c r="J13" s="68">
        <v>10495</v>
      </c>
      <c r="K13" s="68">
        <f t="shared" si="0"/>
        <v>8091.6450000000004</v>
      </c>
      <c r="L13" s="63"/>
    </row>
    <row r="14" spans="1:12" ht="15" x14ac:dyDescent="0.25">
      <c r="A14" s="64" t="s">
        <v>15</v>
      </c>
      <c r="B14" s="9">
        <f>K83*1000</f>
        <v>1189.9844825044711</v>
      </c>
      <c r="C14" s="63"/>
      <c r="D14" s="63" t="s">
        <v>37</v>
      </c>
      <c r="E14" s="62">
        <f>E13/SQRT(COUNT(E5:E11))</f>
        <v>3.1375929939873405E-2</v>
      </c>
      <c r="F14" s="61">
        <f>F13/SQRT(COUNT(F5:F11))</f>
        <v>3223.1875590502564</v>
      </c>
      <c r="G14" s="63"/>
      <c r="H14" s="68">
        <v>2007</v>
      </c>
      <c r="I14" s="68">
        <v>0.86299999999999999</v>
      </c>
      <c r="J14" s="68">
        <v>27035</v>
      </c>
      <c r="K14" s="68">
        <f t="shared" si="0"/>
        <v>23331.204999999998</v>
      </c>
      <c r="L14" s="63"/>
    </row>
    <row r="15" spans="1:12" ht="15" x14ac:dyDescent="0.25">
      <c r="A15" s="49" t="s">
        <v>65</v>
      </c>
      <c r="B15" s="48">
        <f>B7/B3</f>
        <v>3.4428571428571426</v>
      </c>
      <c r="C15" s="63"/>
      <c r="D15" s="63" t="s">
        <v>38</v>
      </c>
      <c r="E15" s="62">
        <f>E12-1.96*E14</f>
        <v>0.5926460344607053</v>
      </c>
      <c r="F15" s="61">
        <f>F12-1.96*F14</f>
        <v>48612.123812832928</v>
      </c>
      <c r="G15" s="63"/>
      <c r="H15" s="68">
        <v>2008</v>
      </c>
      <c r="I15" s="68">
        <v>0.90400000000000003</v>
      </c>
      <c r="J15" s="68">
        <v>12565</v>
      </c>
      <c r="K15" s="68">
        <f t="shared" si="0"/>
        <v>11358.76</v>
      </c>
      <c r="L15" s="63"/>
    </row>
    <row r="16" spans="1:12" ht="15" x14ac:dyDescent="0.25">
      <c r="A16" s="64" t="s">
        <v>16</v>
      </c>
      <c r="B16" s="62">
        <f>B7/B6</f>
        <v>3.1149659863945578</v>
      </c>
      <c r="C16" s="63"/>
      <c r="D16" s="63" t="s">
        <v>39</v>
      </c>
      <c r="E16" s="62">
        <f>E12+1.96*E14</f>
        <v>0.71563967982500898</v>
      </c>
      <c r="F16" s="61">
        <f>F12+1.96*F14</f>
        <v>61247.019044309927</v>
      </c>
      <c r="G16" s="63"/>
      <c r="H16" s="68">
        <v>2009</v>
      </c>
      <c r="I16" s="68">
        <v>1.0289999999999999</v>
      </c>
      <c r="J16" s="68">
        <v>11423</v>
      </c>
      <c r="K16" s="68">
        <f t="shared" si="0"/>
        <v>11754.267</v>
      </c>
      <c r="L16" s="63"/>
    </row>
    <row r="17" spans="1:12" ht="15" x14ac:dyDescent="0.25">
      <c r="A17" s="63"/>
      <c r="B17" s="63"/>
      <c r="C17" s="63"/>
      <c r="D17" s="63"/>
      <c r="E17" s="63"/>
      <c r="F17" s="63"/>
      <c r="G17" s="63"/>
      <c r="H17" s="68">
        <v>2010</v>
      </c>
      <c r="I17" s="68">
        <v>1.028</v>
      </c>
      <c r="J17" s="68">
        <v>12004</v>
      </c>
      <c r="K17" s="68">
        <f t="shared" si="0"/>
        <v>12340.112000000001</v>
      </c>
      <c r="L17" s="63"/>
    </row>
    <row r="18" spans="1:12" ht="15" x14ac:dyDescent="0.25">
      <c r="A18" s="64"/>
      <c r="B18" s="63"/>
      <c r="C18" s="63"/>
      <c r="D18" s="63"/>
      <c r="E18" s="63"/>
      <c r="F18" s="63"/>
      <c r="G18" s="63"/>
      <c r="H18" s="68">
        <v>2011</v>
      </c>
      <c r="I18" s="68">
        <v>0.83499999999999996</v>
      </c>
      <c r="J18" s="68">
        <v>14383</v>
      </c>
      <c r="K18" s="68">
        <f t="shared" si="0"/>
        <v>12009.805</v>
      </c>
      <c r="L18" s="63"/>
    </row>
    <row r="19" spans="1:12" ht="15" x14ac:dyDescent="0.25">
      <c r="A19" s="64" t="s">
        <v>17</v>
      </c>
      <c r="B19" s="63"/>
      <c r="C19" s="63"/>
      <c r="D19" s="63"/>
      <c r="E19" s="63"/>
      <c r="F19" s="63"/>
      <c r="G19" s="63"/>
      <c r="H19" s="68">
        <v>2005</v>
      </c>
      <c r="I19" s="68">
        <v>1.9450000000000001</v>
      </c>
      <c r="J19" s="68">
        <v>2973</v>
      </c>
      <c r="K19" s="68">
        <f t="shared" si="0"/>
        <v>5782.4850000000006</v>
      </c>
      <c r="L19" s="63"/>
    </row>
    <row r="20" spans="1:12" ht="15" x14ac:dyDescent="0.25">
      <c r="A20" s="64" t="s">
        <v>18</v>
      </c>
      <c r="B20" s="63">
        <v>1.04E-2</v>
      </c>
      <c r="C20" s="63"/>
      <c r="D20" s="63"/>
      <c r="E20" s="63"/>
      <c r="F20" s="63"/>
      <c r="G20" s="63"/>
      <c r="H20" s="68">
        <v>2006</v>
      </c>
      <c r="I20" s="68">
        <v>1.972</v>
      </c>
      <c r="J20" s="68">
        <v>5251</v>
      </c>
      <c r="K20" s="68">
        <f t="shared" si="0"/>
        <v>10354.972</v>
      </c>
      <c r="L20" s="63"/>
    </row>
    <row r="21" spans="1:12" ht="15" x14ac:dyDescent="0.25">
      <c r="A21" s="64" t="s">
        <v>19</v>
      </c>
      <c r="B21" s="63">
        <v>3</v>
      </c>
      <c r="C21" s="63"/>
      <c r="D21" s="63"/>
      <c r="E21" s="63"/>
      <c r="F21" s="63"/>
      <c r="G21" s="63"/>
      <c r="H21" s="68">
        <v>2007</v>
      </c>
      <c r="I21" s="68">
        <v>2.1869999999999998</v>
      </c>
      <c r="J21" s="68">
        <v>3949</v>
      </c>
      <c r="K21" s="68">
        <f t="shared" si="0"/>
        <v>8636.4629999999997</v>
      </c>
      <c r="L21" s="63"/>
    </row>
    <row r="22" spans="1:12" ht="15" x14ac:dyDescent="0.25">
      <c r="A22" s="64" t="s">
        <v>20</v>
      </c>
      <c r="B22" s="63">
        <v>126</v>
      </c>
      <c r="C22" s="63"/>
      <c r="D22" s="63"/>
      <c r="E22" s="63"/>
      <c r="F22" s="63"/>
      <c r="G22" s="63"/>
      <c r="H22" s="68">
        <v>2008</v>
      </c>
      <c r="I22" s="68">
        <v>1.9710000000000001</v>
      </c>
      <c r="J22" s="68">
        <v>11767</v>
      </c>
      <c r="K22" s="68">
        <f t="shared" si="0"/>
        <v>23192.757000000001</v>
      </c>
      <c r="L22" s="63"/>
    </row>
    <row r="23" spans="1:12" ht="15" x14ac:dyDescent="0.25">
      <c r="A23" s="64" t="s">
        <v>21</v>
      </c>
      <c r="B23" s="63">
        <v>0.21</v>
      </c>
      <c r="C23" s="63"/>
      <c r="D23" s="63"/>
      <c r="E23" s="63"/>
      <c r="F23" s="63"/>
      <c r="G23" s="63"/>
      <c r="H23" s="68">
        <v>2009</v>
      </c>
      <c r="I23" s="68">
        <v>2.335</v>
      </c>
      <c r="J23" s="68">
        <v>4198</v>
      </c>
      <c r="K23" s="68">
        <f t="shared" si="0"/>
        <v>9802.33</v>
      </c>
      <c r="L23" s="63"/>
    </row>
    <row r="24" spans="1:12" ht="15" x14ac:dyDescent="0.25">
      <c r="A24" s="64" t="s">
        <v>22</v>
      </c>
      <c r="B24" s="63">
        <v>0</v>
      </c>
      <c r="C24" s="63"/>
      <c r="D24" s="63"/>
      <c r="E24" s="63"/>
      <c r="F24" s="63"/>
      <c r="G24" s="63"/>
      <c r="H24" s="68">
        <v>2010</v>
      </c>
      <c r="I24" s="68">
        <v>2.4529999999999998</v>
      </c>
      <c r="J24" s="68">
        <v>5642</v>
      </c>
      <c r="K24" s="68">
        <f t="shared" si="0"/>
        <v>13839.825999999999</v>
      </c>
      <c r="L24" s="63"/>
    </row>
    <row r="25" spans="1:12" ht="15" x14ac:dyDescent="0.25">
      <c r="A25" s="63"/>
      <c r="B25" s="63"/>
      <c r="C25" s="63"/>
      <c r="D25" s="63"/>
      <c r="E25" s="63"/>
      <c r="F25" s="63"/>
      <c r="G25" s="63"/>
      <c r="H25" s="68">
        <v>2011</v>
      </c>
      <c r="I25" s="68">
        <v>2.4239999999999999</v>
      </c>
      <c r="J25" s="68">
        <v>4713</v>
      </c>
      <c r="K25" s="68">
        <f t="shared" si="0"/>
        <v>11424.312</v>
      </c>
      <c r="L25" s="63"/>
    </row>
    <row r="26" spans="1:12" ht="15" x14ac:dyDescent="0.25">
      <c r="A26" s="64" t="s">
        <v>23</v>
      </c>
      <c r="B26" s="63"/>
      <c r="C26" s="63"/>
      <c r="D26" s="63"/>
      <c r="E26" s="63"/>
      <c r="F26" s="63"/>
      <c r="G26" s="63"/>
      <c r="H26" s="68">
        <v>2005</v>
      </c>
      <c r="I26" s="68">
        <v>3.6949999999999998</v>
      </c>
      <c r="J26" s="68">
        <v>1646</v>
      </c>
      <c r="K26" s="68">
        <f t="shared" si="0"/>
        <v>6081.9699999999993</v>
      </c>
      <c r="L26" s="63"/>
    </row>
    <row r="27" spans="1:12" ht="15" x14ac:dyDescent="0.25">
      <c r="A27" s="64" t="s">
        <v>24</v>
      </c>
      <c r="B27" s="65">
        <f>B22*(1-EXP(-B23*(B5-B24)))</f>
        <v>71.604474047935966</v>
      </c>
      <c r="C27" s="63"/>
      <c r="D27" s="63"/>
      <c r="E27" s="63"/>
      <c r="F27" s="63"/>
      <c r="G27" s="63"/>
      <c r="H27" s="68">
        <v>2006</v>
      </c>
      <c r="I27" s="68">
        <v>3.61</v>
      </c>
      <c r="J27" s="68">
        <v>1068</v>
      </c>
      <c r="K27" s="68">
        <f t="shared" si="0"/>
        <v>3855.48</v>
      </c>
      <c r="L27" s="63"/>
    </row>
    <row r="28" spans="1:12" ht="15" x14ac:dyDescent="0.25">
      <c r="A28" s="64" t="s">
        <v>25</v>
      </c>
      <c r="B28" s="65">
        <f>B22*3/(3+B6/B23)</f>
        <v>94.5</v>
      </c>
      <c r="C28" s="65">
        <f>2/3*B22</f>
        <v>84</v>
      </c>
      <c r="D28" s="63"/>
      <c r="E28" s="63"/>
      <c r="F28" s="63"/>
      <c r="G28" s="63"/>
      <c r="H28" s="68">
        <v>2007</v>
      </c>
      <c r="I28" s="68">
        <v>4.0640000000000001</v>
      </c>
      <c r="J28" s="68">
        <v>1903</v>
      </c>
      <c r="K28" s="68">
        <f t="shared" si="0"/>
        <v>7733.7920000000004</v>
      </c>
      <c r="L28" s="63"/>
    </row>
    <row r="29" spans="1:12" ht="15" x14ac:dyDescent="0.25">
      <c r="A29" s="64" t="s">
        <v>26</v>
      </c>
      <c r="B29" s="65">
        <f>(B13/B20)^(1/B21)</f>
        <v>27.530163977534912</v>
      </c>
      <c r="C29" s="63"/>
      <c r="D29" s="63"/>
      <c r="E29" s="63"/>
      <c r="F29" s="63"/>
      <c r="G29" s="63"/>
      <c r="H29" s="68">
        <v>2008</v>
      </c>
      <c r="I29" s="68">
        <v>3.8340000000000001</v>
      </c>
      <c r="J29" s="68">
        <v>1212</v>
      </c>
      <c r="K29" s="68">
        <f t="shared" si="0"/>
        <v>4646.808</v>
      </c>
      <c r="L29" s="63"/>
    </row>
    <row r="30" spans="1:12" ht="15" x14ac:dyDescent="0.25">
      <c r="A30" s="64" t="s">
        <v>27</v>
      </c>
      <c r="B30" s="65">
        <f>(B14/B20)^(1/B21)</f>
        <v>48.547773786441162</v>
      </c>
      <c r="C30" s="63"/>
      <c r="D30" s="63"/>
      <c r="E30" s="63"/>
      <c r="F30" s="63"/>
      <c r="G30" s="63"/>
      <c r="H30" s="68">
        <v>2009</v>
      </c>
      <c r="I30" s="68">
        <v>3.972</v>
      </c>
      <c r="J30" s="68">
        <v>3280</v>
      </c>
      <c r="K30" s="68">
        <f t="shared" si="0"/>
        <v>13028.16</v>
      </c>
      <c r="L30" s="63"/>
    </row>
    <row r="31" spans="1:12" ht="15" x14ac:dyDescent="0.25">
      <c r="A31" s="64" t="s">
        <v>28</v>
      </c>
      <c r="B31" s="65">
        <f>(B22*B23+2*B29*B6)/(B23+2*B6)</f>
        <v>60.353442651689932</v>
      </c>
      <c r="C31" s="65">
        <f>(3*B29+B22)/4</f>
        <v>52.14762298315118</v>
      </c>
      <c r="D31" s="63"/>
      <c r="E31" s="63"/>
      <c r="F31" s="63"/>
      <c r="G31" s="63"/>
      <c r="H31" s="68">
        <v>2010</v>
      </c>
      <c r="I31" s="68">
        <v>4.1989999999999998</v>
      </c>
      <c r="J31" s="68">
        <v>1618</v>
      </c>
      <c r="K31" s="68">
        <f t="shared" si="0"/>
        <v>6793.982</v>
      </c>
      <c r="L31" s="63"/>
    </row>
    <row r="32" spans="1:12" ht="15" x14ac:dyDescent="0.25">
      <c r="A32" s="63"/>
      <c r="B32" s="63"/>
      <c r="C32" s="63"/>
      <c r="D32" s="63"/>
      <c r="E32" s="63"/>
      <c r="F32" s="63"/>
      <c r="G32" s="63"/>
      <c r="H32" s="68">
        <v>2011</v>
      </c>
      <c r="I32" s="68">
        <v>4.3490000000000002</v>
      </c>
      <c r="J32" s="68">
        <v>1590</v>
      </c>
      <c r="K32" s="68">
        <f t="shared" si="0"/>
        <v>6914.9100000000008</v>
      </c>
      <c r="L32" s="63"/>
    </row>
    <row r="33" spans="1:12" ht="15" x14ac:dyDescent="0.25">
      <c r="A33" s="63"/>
      <c r="B33" s="63"/>
      <c r="C33" s="63"/>
      <c r="D33" s="63"/>
      <c r="E33" s="63"/>
      <c r="F33" s="63"/>
      <c r="G33" s="63"/>
      <c r="H33" s="68">
        <v>2005</v>
      </c>
      <c r="I33" s="68">
        <v>5.0549999999999997</v>
      </c>
      <c r="J33" s="68">
        <v>478</v>
      </c>
      <c r="K33" s="68">
        <f t="shared" si="0"/>
        <v>2416.29</v>
      </c>
      <c r="L33" s="63"/>
    </row>
    <row r="34" spans="1:12" ht="15" x14ac:dyDescent="0.25">
      <c r="A34" s="64" t="s">
        <v>29</v>
      </c>
      <c r="B34" s="63"/>
      <c r="C34" s="63"/>
      <c r="D34" s="63"/>
      <c r="E34" s="63"/>
      <c r="F34" s="63"/>
      <c r="G34" s="63"/>
      <c r="H34" s="68">
        <v>2006</v>
      </c>
      <c r="I34" s="68">
        <v>5.59</v>
      </c>
      <c r="J34" s="68">
        <v>483</v>
      </c>
      <c r="K34" s="68">
        <f t="shared" si="0"/>
        <v>2699.97</v>
      </c>
      <c r="L34" s="63"/>
    </row>
    <row r="35" spans="1:12" ht="15" x14ac:dyDescent="0.25">
      <c r="A35" s="64" t="s">
        <v>30</v>
      </c>
      <c r="B35" s="65"/>
      <c r="C35" s="63"/>
      <c r="D35" s="63"/>
      <c r="E35" s="63"/>
      <c r="F35" s="63"/>
      <c r="G35" s="63"/>
      <c r="H35" s="68">
        <v>2007</v>
      </c>
      <c r="I35" s="68">
        <v>5.6070000000000002</v>
      </c>
      <c r="J35" s="68">
        <v>356</v>
      </c>
      <c r="K35" s="68">
        <f t="shared" si="0"/>
        <v>1996.0920000000001</v>
      </c>
      <c r="L35" s="63"/>
    </row>
    <row r="36" spans="1:12" ht="15" x14ac:dyDescent="0.25">
      <c r="A36" s="64" t="s">
        <v>31</v>
      </c>
      <c r="B36" s="62">
        <f>B23*(B30-B22)/(B29-B30)-B6</f>
        <v>0.56387332112117938</v>
      </c>
      <c r="C36" s="63"/>
      <c r="D36" s="63"/>
      <c r="E36" s="63"/>
      <c r="F36" s="63"/>
      <c r="G36" s="63"/>
      <c r="H36" s="68">
        <v>2008</v>
      </c>
      <c r="I36" s="68">
        <v>5.6920000000000002</v>
      </c>
      <c r="J36" s="68">
        <v>718</v>
      </c>
      <c r="K36" s="68">
        <f t="shared" si="0"/>
        <v>4086.8560000000002</v>
      </c>
      <c r="L36" s="63"/>
    </row>
    <row r="37" spans="1:12" x14ac:dyDescent="0.3">
      <c r="A37" s="64" t="s">
        <v>16</v>
      </c>
      <c r="B37" s="62">
        <f>B23*(B22-B30)/(B6*(B30-B29))-1</f>
        <v>2.6851110529579971</v>
      </c>
      <c r="C37" s="63"/>
      <c r="D37" s="63"/>
      <c r="E37" s="63"/>
      <c r="F37" s="63"/>
      <c r="G37" s="63"/>
      <c r="H37" s="68">
        <v>2009</v>
      </c>
      <c r="I37" s="68">
        <v>6.0410000000000004</v>
      </c>
      <c r="J37" s="68">
        <v>581</v>
      </c>
      <c r="K37" s="68">
        <f t="shared" si="0"/>
        <v>3509.8210000000004</v>
      </c>
      <c r="L37" s="63"/>
    </row>
    <row r="38" spans="1:12" x14ac:dyDescent="0.3">
      <c r="A38" s="64" t="s">
        <v>32</v>
      </c>
      <c r="B38" s="65">
        <f>2*(B22-B30)/(3*(B30-B29))-1</f>
        <v>1.4567407019719982</v>
      </c>
      <c r="C38" s="63"/>
      <c r="D38" s="63"/>
      <c r="E38" s="63"/>
      <c r="F38" s="63"/>
      <c r="G38" s="63"/>
      <c r="H38" s="68">
        <v>2010</v>
      </c>
      <c r="I38" s="68">
        <v>6.0490000000000004</v>
      </c>
      <c r="J38" s="68">
        <v>1303</v>
      </c>
      <c r="K38" s="68">
        <f t="shared" si="0"/>
        <v>7881.8470000000007</v>
      </c>
      <c r="L38" s="63"/>
    </row>
    <row r="39" spans="1:12" x14ac:dyDescent="0.3">
      <c r="A39" s="64" t="s">
        <v>33</v>
      </c>
      <c r="B39" s="65">
        <f>(3*B29+B22)/4</f>
        <v>52.14762298315118</v>
      </c>
      <c r="C39" s="63"/>
      <c r="D39" s="63"/>
      <c r="E39" s="63"/>
      <c r="F39" s="63"/>
      <c r="G39" s="63"/>
      <c r="H39" s="68">
        <v>2011</v>
      </c>
      <c r="I39" s="68">
        <v>6.2450000000000001</v>
      </c>
      <c r="J39" s="68">
        <v>613</v>
      </c>
      <c r="K39" s="68">
        <f t="shared" si="0"/>
        <v>3828.1849999999999</v>
      </c>
      <c r="L39" s="63"/>
    </row>
    <row r="40" spans="1:12" x14ac:dyDescent="0.3">
      <c r="A40" s="63"/>
      <c r="B40" s="63"/>
      <c r="C40" s="63"/>
      <c r="D40" s="63"/>
      <c r="E40" s="63"/>
      <c r="F40" s="63"/>
      <c r="G40" s="63"/>
      <c r="H40" s="68">
        <v>2005</v>
      </c>
      <c r="I40" s="68">
        <v>7.5549999999999997</v>
      </c>
      <c r="J40" s="68">
        <v>394</v>
      </c>
      <c r="K40" s="68">
        <f t="shared" si="0"/>
        <v>2976.67</v>
      </c>
      <c r="L40" s="63"/>
    </row>
    <row r="41" spans="1:12" x14ac:dyDescent="0.3">
      <c r="A41" s="63"/>
      <c r="B41" s="63"/>
      <c r="C41" s="63"/>
      <c r="D41" s="63"/>
      <c r="E41" s="63"/>
      <c r="F41" s="63"/>
      <c r="G41" s="63"/>
      <c r="H41" s="68">
        <v>2006</v>
      </c>
      <c r="I41" s="68">
        <v>6.8479999999999999</v>
      </c>
      <c r="J41" s="68">
        <v>153</v>
      </c>
      <c r="K41" s="68">
        <f t="shared" si="0"/>
        <v>1047.7439999999999</v>
      </c>
      <c r="L41" s="63"/>
    </row>
    <row r="42" spans="1:12" x14ac:dyDescent="0.3">
      <c r="A42" s="63"/>
      <c r="B42" s="63"/>
      <c r="C42" s="63"/>
      <c r="D42" s="63"/>
      <c r="E42" s="63"/>
      <c r="F42" s="63"/>
      <c r="G42" s="63"/>
      <c r="H42" s="68">
        <v>2007</v>
      </c>
      <c r="I42" s="68">
        <v>8.4670000000000005</v>
      </c>
      <c r="J42" s="68">
        <v>139</v>
      </c>
      <c r="K42" s="68">
        <f t="shared" si="0"/>
        <v>1176.913</v>
      </c>
      <c r="L42" s="63"/>
    </row>
    <row r="43" spans="1:12" x14ac:dyDescent="0.3">
      <c r="A43" s="63"/>
      <c r="B43" s="63"/>
      <c r="C43" s="63"/>
      <c r="D43" s="63"/>
      <c r="E43" s="63"/>
      <c r="F43" s="63"/>
      <c r="G43" s="63"/>
      <c r="H43" s="68">
        <v>2008</v>
      </c>
      <c r="I43" s="68">
        <v>7.2279999999999998</v>
      </c>
      <c r="J43" s="68">
        <v>183</v>
      </c>
      <c r="K43" s="68">
        <f t="shared" si="0"/>
        <v>1322.7239999999999</v>
      </c>
      <c r="L43" s="63"/>
    </row>
    <row r="44" spans="1:12" x14ac:dyDescent="0.3">
      <c r="A44" s="63"/>
      <c r="B44" s="63"/>
      <c r="C44" s="63"/>
      <c r="D44" s="63"/>
      <c r="E44" s="63"/>
      <c r="F44" s="63"/>
      <c r="G44" s="63"/>
      <c r="H44" s="68">
        <v>2009</v>
      </c>
      <c r="I44" s="68">
        <v>7.5380000000000003</v>
      </c>
      <c r="J44" s="68">
        <v>261</v>
      </c>
      <c r="K44" s="68">
        <f t="shared" si="0"/>
        <v>1967.4180000000001</v>
      </c>
      <c r="L44" s="63"/>
    </row>
    <row r="45" spans="1:12" x14ac:dyDescent="0.3">
      <c r="A45" s="63"/>
      <c r="B45" s="63"/>
      <c r="C45" s="63"/>
      <c r="D45" s="63"/>
      <c r="E45" s="63"/>
      <c r="F45" s="63"/>
      <c r="G45" s="63"/>
      <c r="H45" s="68">
        <v>2010</v>
      </c>
      <c r="I45" s="68">
        <v>7.6920000000000002</v>
      </c>
      <c r="J45" s="68">
        <v>238</v>
      </c>
      <c r="K45" s="68">
        <f t="shared" si="0"/>
        <v>1830.6960000000001</v>
      </c>
      <c r="L45" s="63"/>
    </row>
    <row r="46" spans="1:12" x14ac:dyDescent="0.3">
      <c r="A46" s="63"/>
      <c r="B46" s="63"/>
      <c r="C46" s="63"/>
      <c r="D46" s="63"/>
      <c r="E46" s="63"/>
      <c r="F46" s="63"/>
      <c r="G46" s="63"/>
      <c r="H46" s="68">
        <v>2011</v>
      </c>
      <c r="I46" s="68">
        <v>7.71</v>
      </c>
      <c r="J46" s="68">
        <v>586</v>
      </c>
      <c r="K46" s="68">
        <f t="shared" si="0"/>
        <v>4518.0600000000004</v>
      </c>
      <c r="L46" s="63"/>
    </row>
    <row r="47" spans="1:12" x14ac:dyDescent="0.3">
      <c r="A47" s="63"/>
      <c r="B47" s="63"/>
      <c r="C47" s="63"/>
      <c r="D47" s="63"/>
      <c r="E47" s="63"/>
      <c r="F47" s="63"/>
      <c r="G47" s="63"/>
      <c r="H47" s="68">
        <v>2005</v>
      </c>
      <c r="I47" s="68">
        <v>9.6069999999999993</v>
      </c>
      <c r="J47" s="68">
        <v>44</v>
      </c>
      <c r="K47" s="68">
        <f t="shared" si="0"/>
        <v>422.70799999999997</v>
      </c>
      <c r="L47" s="63"/>
    </row>
    <row r="48" spans="1:12" x14ac:dyDescent="0.3">
      <c r="A48" s="63"/>
      <c r="B48" s="63"/>
      <c r="C48" s="63"/>
      <c r="D48" s="63"/>
      <c r="E48" s="63"/>
      <c r="F48" s="63"/>
      <c r="G48" s="63"/>
      <c r="H48" s="68">
        <v>2006</v>
      </c>
      <c r="I48" s="68">
        <v>8.9109999999999996</v>
      </c>
      <c r="J48" s="68">
        <v>117</v>
      </c>
      <c r="K48" s="68">
        <f t="shared" si="0"/>
        <v>1042.587</v>
      </c>
      <c r="L48" s="63"/>
    </row>
    <row r="49" spans="1:12" x14ac:dyDescent="0.3">
      <c r="A49" s="63"/>
      <c r="B49" s="63"/>
      <c r="C49" s="63"/>
      <c r="D49" s="63"/>
      <c r="E49" s="63"/>
      <c r="F49" s="63"/>
      <c r="G49" s="63"/>
      <c r="H49" s="68">
        <v>2007</v>
      </c>
      <c r="I49" s="68">
        <v>8.9169999999999998</v>
      </c>
      <c r="J49" s="68">
        <v>39</v>
      </c>
      <c r="K49" s="68">
        <f t="shared" si="0"/>
        <v>347.76299999999998</v>
      </c>
      <c r="L49" s="63"/>
    </row>
    <row r="50" spans="1:12" x14ac:dyDescent="0.3">
      <c r="A50" s="63"/>
      <c r="B50" s="63"/>
      <c r="C50" s="63"/>
      <c r="D50" s="63"/>
      <c r="E50" s="63"/>
      <c r="F50" s="63"/>
      <c r="G50" s="63"/>
      <c r="H50" s="68">
        <v>2008</v>
      </c>
      <c r="I50" s="68">
        <v>9.3209999999999997</v>
      </c>
      <c r="J50" s="68">
        <v>71</v>
      </c>
      <c r="K50" s="68">
        <f t="shared" si="0"/>
        <v>661.79099999999994</v>
      </c>
      <c r="L50" s="63"/>
    </row>
    <row r="51" spans="1:12" x14ac:dyDescent="0.3">
      <c r="A51" s="63"/>
      <c r="B51" s="63"/>
      <c r="C51" s="63"/>
      <c r="D51" s="63"/>
      <c r="E51" s="63"/>
      <c r="F51" s="63"/>
      <c r="G51" s="63"/>
      <c r="H51" s="68">
        <v>2009</v>
      </c>
      <c r="I51" s="68">
        <v>8.7949999999999999</v>
      </c>
      <c r="J51" s="68">
        <v>60</v>
      </c>
      <c r="K51" s="68">
        <f t="shared" si="0"/>
        <v>527.70000000000005</v>
      </c>
      <c r="L51" s="63"/>
    </row>
    <row r="52" spans="1:12" x14ac:dyDescent="0.3">
      <c r="A52" s="63"/>
      <c r="B52" s="63"/>
      <c r="C52" s="63"/>
      <c r="D52" s="63"/>
      <c r="E52" s="63"/>
      <c r="F52" s="63"/>
      <c r="G52" s="63"/>
      <c r="H52" s="68">
        <v>2010</v>
      </c>
      <c r="I52" s="68">
        <v>9.234</v>
      </c>
      <c r="J52" s="68">
        <v>87</v>
      </c>
      <c r="K52" s="68">
        <f t="shared" si="0"/>
        <v>803.35799999999995</v>
      </c>
      <c r="L52" s="63"/>
    </row>
    <row r="53" spans="1:12" x14ac:dyDescent="0.3">
      <c r="A53" s="63"/>
      <c r="B53" s="63"/>
      <c r="C53" s="63"/>
      <c r="D53" s="63"/>
      <c r="E53" s="63"/>
      <c r="F53" s="63"/>
      <c r="G53" s="63"/>
      <c r="H53" s="68">
        <v>2011</v>
      </c>
      <c r="I53" s="68">
        <v>9.2159999999999993</v>
      </c>
      <c r="J53" s="68">
        <v>69</v>
      </c>
      <c r="K53" s="68">
        <f t="shared" si="0"/>
        <v>635.904</v>
      </c>
      <c r="L53" s="63"/>
    </row>
    <row r="54" spans="1:12" x14ac:dyDescent="0.3">
      <c r="A54" s="63"/>
      <c r="B54" s="63"/>
      <c r="C54" s="63"/>
      <c r="D54" s="63"/>
      <c r="E54" s="63"/>
      <c r="F54" s="63"/>
      <c r="G54" s="63"/>
      <c r="H54" s="68">
        <v>2005</v>
      </c>
      <c r="I54" s="68">
        <v>11.228999999999999</v>
      </c>
      <c r="J54" s="68">
        <v>11</v>
      </c>
      <c r="K54" s="68">
        <f t="shared" si="0"/>
        <v>123.51899999999999</v>
      </c>
      <c r="L54" s="63"/>
    </row>
    <row r="55" spans="1:12" x14ac:dyDescent="0.3">
      <c r="A55" s="63"/>
      <c r="B55" s="63"/>
      <c r="C55" s="63"/>
      <c r="D55" s="63"/>
      <c r="E55" s="63"/>
      <c r="F55" s="63"/>
      <c r="G55" s="63"/>
      <c r="H55" s="68">
        <v>2006</v>
      </c>
      <c r="I55" s="68">
        <v>10.638999999999999</v>
      </c>
      <c r="J55" s="68">
        <v>22</v>
      </c>
      <c r="K55" s="68">
        <f t="shared" si="0"/>
        <v>234.05799999999999</v>
      </c>
      <c r="L55" s="63"/>
    </row>
    <row r="56" spans="1:12" x14ac:dyDescent="0.3">
      <c r="A56" s="63"/>
      <c r="B56" s="63"/>
      <c r="C56" s="63"/>
      <c r="D56" s="63"/>
      <c r="E56" s="63"/>
      <c r="F56" s="63"/>
      <c r="G56" s="63"/>
      <c r="H56" s="68">
        <v>2007</v>
      </c>
      <c r="I56" s="68">
        <v>9.9019999999999992</v>
      </c>
      <c r="J56" s="68">
        <v>38</v>
      </c>
      <c r="K56" s="68">
        <f t="shared" si="0"/>
        <v>376.27599999999995</v>
      </c>
      <c r="L56" s="63"/>
    </row>
    <row r="57" spans="1:12" x14ac:dyDescent="0.3">
      <c r="A57" s="63"/>
      <c r="B57" s="63"/>
      <c r="C57" s="63"/>
      <c r="D57" s="63"/>
      <c r="E57" s="63"/>
      <c r="F57" s="63"/>
      <c r="G57" s="63"/>
      <c r="H57" s="68">
        <v>2008</v>
      </c>
      <c r="I57" s="68">
        <v>9.8789999999999996</v>
      </c>
      <c r="J57" s="68">
        <v>33</v>
      </c>
      <c r="K57" s="68">
        <f t="shared" si="0"/>
        <v>326.00700000000001</v>
      </c>
      <c r="L57" s="63"/>
    </row>
    <row r="58" spans="1:12" x14ac:dyDescent="0.3">
      <c r="A58" s="63"/>
      <c r="B58" s="63"/>
      <c r="C58" s="63"/>
      <c r="D58" s="63"/>
      <c r="E58" s="63"/>
      <c r="F58" s="63"/>
      <c r="G58" s="63"/>
      <c r="H58" s="68">
        <v>2009</v>
      </c>
      <c r="I58" s="68">
        <v>10.212</v>
      </c>
      <c r="J58" s="68">
        <v>29</v>
      </c>
      <c r="K58" s="68">
        <f t="shared" si="0"/>
        <v>296.14799999999997</v>
      </c>
      <c r="L58" s="63"/>
    </row>
    <row r="59" spans="1:12" x14ac:dyDescent="0.3">
      <c r="A59" s="63"/>
      <c r="B59" s="63"/>
      <c r="C59" s="63"/>
      <c r="D59" s="63"/>
      <c r="E59" s="63"/>
      <c r="F59" s="63"/>
      <c r="G59" s="63"/>
      <c r="H59" s="68">
        <v>2010</v>
      </c>
      <c r="I59" s="68">
        <v>10.311</v>
      </c>
      <c r="J59" s="68">
        <v>19</v>
      </c>
      <c r="K59" s="68">
        <f t="shared" si="0"/>
        <v>195.90899999999999</v>
      </c>
      <c r="L59" s="63"/>
    </row>
    <row r="60" spans="1:12" x14ac:dyDescent="0.3">
      <c r="A60" s="63"/>
      <c r="B60" s="63"/>
      <c r="C60" s="63"/>
      <c r="D60" s="63"/>
      <c r="E60" s="63"/>
      <c r="F60" s="63"/>
      <c r="G60" s="63"/>
      <c r="H60" s="68">
        <v>2011</v>
      </c>
      <c r="I60" s="68">
        <v>9.4949999999999992</v>
      </c>
      <c r="J60" s="68">
        <v>26</v>
      </c>
      <c r="K60" s="68">
        <f t="shared" si="0"/>
        <v>246.86999999999998</v>
      </c>
      <c r="L60" s="63"/>
    </row>
    <row r="61" spans="1:12" x14ac:dyDescent="0.3">
      <c r="A61" s="63"/>
      <c r="B61" s="63"/>
      <c r="C61" s="63"/>
      <c r="D61" s="63"/>
      <c r="E61" s="63"/>
      <c r="F61" s="63"/>
      <c r="G61" s="63"/>
      <c r="H61" s="68">
        <v>2005</v>
      </c>
      <c r="I61" s="68">
        <v>11.500999999999999</v>
      </c>
      <c r="J61" s="68">
        <v>8</v>
      </c>
      <c r="K61" s="68">
        <f t="shared" si="0"/>
        <v>92.007999999999996</v>
      </c>
      <c r="L61" s="63"/>
    </row>
    <row r="62" spans="1:12" x14ac:dyDescent="0.3">
      <c r="A62" s="63"/>
      <c r="B62" s="63"/>
      <c r="C62" s="63"/>
      <c r="D62" s="63"/>
      <c r="E62" s="63"/>
      <c r="F62" s="63"/>
      <c r="G62" s="63"/>
      <c r="H62" s="68">
        <v>2006</v>
      </c>
      <c r="I62" s="68">
        <v>12.215999999999999</v>
      </c>
      <c r="J62" s="68">
        <v>4</v>
      </c>
      <c r="K62" s="68">
        <f t="shared" si="0"/>
        <v>48.863999999999997</v>
      </c>
      <c r="L62" s="63"/>
    </row>
    <row r="63" spans="1:12" x14ac:dyDescent="0.3">
      <c r="H63" s="68">
        <v>2007</v>
      </c>
      <c r="I63" s="68">
        <v>12.358000000000001</v>
      </c>
      <c r="J63" s="68">
        <v>6</v>
      </c>
      <c r="K63" s="68">
        <f t="shared" si="0"/>
        <v>74.147999999999996</v>
      </c>
    </row>
    <row r="64" spans="1:12" x14ac:dyDescent="0.3">
      <c r="H64" s="68">
        <v>2008</v>
      </c>
      <c r="I64" s="68">
        <v>11.596</v>
      </c>
      <c r="J64" s="68">
        <v>21</v>
      </c>
      <c r="K64" s="68">
        <f t="shared" si="0"/>
        <v>243.51599999999999</v>
      </c>
    </row>
    <row r="65" spans="8:11" x14ac:dyDescent="0.3">
      <c r="H65" s="68">
        <v>2009</v>
      </c>
      <c r="I65" s="68">
        <v>9.9990000000000006</v>
      </c>
      <c r="J65" s="68">
        <v>20</v>
      </c>
      <c r="K65" s="68">
        <f t="shared" si="0"/>
        <v>199.98000000000002</v>
      </c>
    </row>
    <row r="66" spans="8:11" x14ac:dyDescent="0.3">
      <c r="H66" s="68">
        <v>2010</v>
      </c>
      <c r="I66" s="68">
        <v>10.801</v>
      </c>
      <c r="J66" s="68">
        <v>9</v>
      </c>
      <c r="K66" s="68">
        <f t="shared" si="0"/>
        <v>97.209000000000003</v>
      </c>
    </row>
    <row r="67" spans="8:11" x14ac:dyDescent="0.3">
      <c r="H67" s="68">
        <v>2011</v>
      </c>
      <c r="I67" s="68">
        <v>11.499000000000001</v>
      </c>
      <c r="J67" s="68">
        <v>5</v>
      </c>
      <c r="K67" s="68">
        <f t="shared" si="0"/>
        <v>57.495000000000005</v>
      </c>
    </row>
    <row r="68" spans="8:11" x14ac:dyDescent="0.3">
      <c r="H68" s="68">
        <v>2005</v>
      </c>
      <c r="I68" s="68">
        <v>13.333</v>
      </c>
      <c r="J68" s="68">
        <v>2</v>
      </c>
      <c r="K68" s="68">
        <f t="shared" si="0"/>
        <v>26.666</v>
      </c>
    </row>
    <row r="69" spans="8:11" x14ac:dyDescent="0.3">
      <c r="H69" s="68">
        <v>2006</v>
      </c>
      <c r="I69" s="68">
        <v>9.2119999999999997</v>
      </c>
      <c r="J69" s="68">
        <v>2</v>
      </c>
      <c r="K69" s="68">
        <f t="shared" si="0"/>
        <v>18.423999999999999</v>
      </c>
    </row>
    <row r="70" spans="8:11" x14ac:dyDescent="0.3">
      <c r="H70" s="68">
        <v>2007</v>
      </c>
      <c r="I70" s="68">
        <v>13.725</v>
      </c>
      <c r="J70" s="68">
        <v>1</v>
      </c>
      <c r="K70" s="68">
        <f t="shared" ref="K70:K81" si="1">J70*I70</f>
        <v>13.725</v>
      </c>
    </row>
    <row r="71" spans="8:11" x14ac:dyDescent="0.3">
      <c r="H71" s="68">
        <v>2008</v>
      </c>
      <c r="I71" s="68">
        <v>15.278</v>
      </c>
      <c r="J71" s="68">
        <v>4</v>
      </c>
      <c r="K71" s="68">
        <f t="shared" si="1"/>
        <v>61.112000000000002</v>
      </c>
    </row>
    <row r="72" spans="8:11" x14ac:dyDescent="0.3">
      <c r="H72" s="68">
        <v>2009</v>
      </c>
      <c r="I72" s="68">
        <v>11.914999999999999</v>
      </c>
      <c r="J72" s="68">
        <v>9</v>
      </c>
      <c r="K72" s="68">
        <f t="shared" si="1"/>
        <v>107.23499999999999</v>
      </c>
    </row>
    <row r="73" spans="8:11" x14ac:dyDescent="0.3">
      <c r="H73" s="68">
        <v>2010</v>
      </c>
      <c r="I73" s="68">
        <v>11.462</v>
      </c>
      <c r="J73" s="68">
        <v>5</v>
      </c>
      <c r="K73" s="68">
        <f t="shared" si="1"/>
        <v>57.31</v>
      </c>
    </row>
    <row r="74" spans="8:11" x14ac:dyDescent="0.3">
      <c r="H74" s="68">
        <v>2011</v>
      </c>
      <c r="I74" s="68">
        <v>15.754</v>
      </c>
      <c r="J74" s="68">
        <v>10</v>
      </c>
      <c r="K74" s="68">
        <f t="shared" si="1"/>
        <v>157.54</v>
      </c>
    </row>
    <row r="75" spans="8:11" x14ac:dyDescent="0.3">
      <c r="H75" s="68">
        <v>2005</v>
      </c>
      <c r="I75" s="68">
        <v>15.34</v>
      </c>
      <c r="J75" s="68">
        <v>0</v>
      </c>
      <c r="K75" s="68">
        <f t="shared" si="1"/>
        <v>0</v>
      </c>
    </row>
    <row r="76" spans="8:11" x14ac:dyDescent="0.3">
      <c r="H76" s="68">
        <v>2006</v>
      </c>
      <c r="I76" s="68">
        <v>10.773</v>
      </c>
      <c r="J76" s="68">
        <v>0</v>
      </c>
      <c r="K76" s="68">
        <f t="shared" si="1"/>
        <v>0</v>
      </c>
    </row>
    <row r="77" spans="8:11" x14ac:dyDescent="0.3">
      <c r="H77" s="68">
        <v>2007</v>
      </c>
      <c r="I77" s="68">
        <v>8.1539999999999999</v>
      </c>
      <c r="J77" s="68">
        <v>0</v>
      </c>
      <c r="K77" s="68">
        <f t="shared" si="1"/>
        <v>0</v>
      </c>
    </row>
    <row r="78" spans="8:11" x14ac:dyDescent="0.3">
      <c r="H78" s="68">
        <v>2008</v>
      </c>
      <c r="I78" s="68">
        <v>13.295</v>
      </c>
      <c r="J78" s="68">
        <v>3</v>
      </c>
      <c r="K78" s="68">
        <f t="shared" si="1"/>
        <v>39.884999999999998</v>
      </c>
    </row>
    <row r="79" spans="8:11" x14ac:dyDescent="0.3">
      <c r="H79" s="68">
        <v>2009</v>
      </c>
      <c r="I79" s="68">
        <v>13.597</v>
      </c>
      <c r="J79" s="68">
        <v>2</v>
      </c>
      <c r="K79" s="68">
        <f t="shared" si="1"/>
        <v>27.193999999999999</v>
      </c>
    </row>
    <row r="80" spans="8:11" x14ac:dyDescent="0.3">
      <c r="H80" s="68">
        <v>2010</v>
      </c>
      <c r="I80" s="68">
        <v>10.522</v>
      </c>
      <c r="J80" s="68">
        <v>3</v>
      </c>
      <c r="K80" s="68">
        <f t="shared" si="1"/>
        <v>31.566000000000003</v>
      </c>
    </row>
    <row r="81" spans="8:11" x14ac:dyDescent="0.3">
      <c r="H81" s="68">
        <v>2011</v>
      </c>
      <c r="I81" s="68">
        <v>12.420999999999999</v>
      </c>
      <c r="J81" s="68">
        <v>2</v>
      </c>
      <c r="K81" s="68">
        <f t="shared" si="1"/>
        <v>24.841999999999999</v>
      </c>
    </row>
    <row r="82" spans="8:11" x14ac:dyDescent="0.3">
      <c r="H82" s="68" t="s">
        <v>42</v>
      </c>
      <c r="I82" s="68"/>
      <c r="J82" s="68">
        <f>SUM(J5:J81)</f>
        <v>251007</v>
      </c>
      <c r="K82" s="68">
        <f>SUM(K5:K81)</f>
        <v>298694.43499999982</v>
      </c>
    </row>
    <row r="83" spans="8:11" x14ac:dyDescent="0.3">
      <c r="H83" s="68" t="s">
        <v>78</v>
      </c>
      <c r="I83" s="68"/>
      <c r="J83" s="68"/>
      <c r="K83" s="68">
        <f>K82/J82</f>
        <v>1.1899844825044712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76" zoomScale="90" zoomScaleNormal="90" workbookViewId="0">
      <selection activeCell="A90" sqref="A90"/>
    </sheetView>
  </sheetViews>
  <sheetFormatPr defaultRowHeight="14.4" x14ac:dyDescent="0.3"/>
  <cols>
    <col min="4" max="4" width="14.88671875" customWidth="1"/>
    <col min="5" max="5" width="10.33203125" bestFit="1" customWidth="1"/>
    <col min="6" max="6" width="11.5546875" bestFit="1" customWidth="1"/>
    <col min="7" max="7" width="12.44140625" bestFit="1" customWidth="1"/>
  </cols>
  <sheetData>
    <row r="1" spans="1:10" x14ac:dyDescent="0.3">
      <c r="A1" t="s">
        <v>101</v>
      </c>
      <c r="B1" t="s">
        <v>102</v>
      </c>
      <c r="I1" t="s">
        <v>101</v>
      </c>
      <c r="J1" t="s">
        <v>102</v>
      </c>
    </row>
    <row r="2" spans="1:10" x14ac:dyDescent="0.3">
      <c r="A2">
        <v>0</v>
      </c>
      <c r="B2">
        <v>0</v>
      </c>
      <c r="I2">
        <v>0</v>
      </c>
      <c r="J2">
        <v>0</v>
      </c>
    </row>
    <row r="3" spans="1:10" x14ac:dyDescent="0.3">
      <c r="A3">
        <v>90</v>
      </c>
      <c r="B3">
        <v>90</v>
      </c>
      <c r="I3">
        <v>70</v>
      </c>
      <c r="J3">
        <v>70</v>
      </c>
    </row>
    <row r="18" spans="1:2" x14ac:dyDescent="0.3">
      <c r="A18" t="s">
        <v>101</v>
      </c>
      <c r="B18" t="s">
        <v>102</v>
      </c>
    </row>
    <row r="19" spans="1:2" x14ac:dyDescent="0.3">
      <c r="A19">
        <v>0</v>
      </c>
      <c r="B19">
        <v>0</v>
      </c>
    </row>
    <row r="20" spans="1:2" x14ac:dyDescent="0.3">
      <c r="A20">
        <v>0.35</v>
      </c>
      <c r="B20">
        <v>0.35</v>
      </c>
    </row>
    <row r="33" spans="1:2" x14ac:dyDescent="0.3">
      <c r="A33" t="s">
        <v>101</v>
      </c>
      <c r="B33" t="s">
        <v>102</v>
      </c>
    </row>
    <row r="34" spans="1:2" x14ac:dyDescent="0.3">
      <c r="A34">
        <v>1</v>
      </c>
      <c r="B34">
        <v>0</v>
      </c>
    </row>
    <row r="35" spans="1:2" x14ac:dyDescent="0.3">
      <c r="A35">
        <v>1</v>
      </c>
      <c r="B35">
        <v>10</v>
      </c>
    </row>
    <row r="87" spans="1:8" ht="15.6" x14ac:dyDescent="0.35">
      <c r="A87" s="64" t="s">
        <v>82</v>
      </c>
      <c r="B87" s="67" t="s">
        <v>111</v>
      </c>
      <c r="C87" s="67" t="s">
        <v>16</v>
      </c>
      <c r="D87" s="66" t="s">
        <v>112</v>
      </c>
      <c r="E87" s="67" t="s">
        <v>113</v>
      </c>
      <c r="F87" s="67" t="s">
        <v>114</v>
      </c>
      <c r="G87" s="66" t="s">
        <v>115</v>
      </c>
      <c r="H87" s="66" t="s">
        <v>109</v>
      </c>
    </row>
    <row r="88" spans="1:8" s="68" customFormat="1" x14ac:dyDescent="0.3">
      <c r="A88" t="s">
        <v>118</v>
      </c>
      <c r="B88" s="70">
        <v>3.4</v>
      </c>
      <c r="C88" s="70">
        <v>3.1</v>
      </c>
      <c r="D88" s="70">
        <v>0.18</v>
      </c>
      <c r="E88" s="70">
        <v>0.7</v>
      </c>
      <c r="F88" s="70">
        <v>0.6</v>
      </c>
      <c r="G88" s="70">
        <v>0.9</v>
      </c>
      <c r="H88"/>
    </row>
    <row r="89" spans="1:8" x14ac:dyDescent="0.3">
      <c r="A89" t="s">
        <v>83</v>
      </c>
      <c r="B89" s="70">
        <v>1.1075510204081631</v>
      </c>
      <c r="C89" s="70">
        <v>1.3844387755102037</v>
      </c>
      <c r="D89" s="70"/>
      <c r="E89" s="70">
        <v>1.6749190637944822</v>
      </c>
      <c r="F89" s="70">
        <v>1.1335559881025363</v>
      </c>
      <c r="G89" s="70">
        <v>1.0889184906092471</v>
      </c>
    </row>
    <row r="90" spans="1:8" x14ac:dyDescent="0.3">
      <c r="A90" t="s">
        <v>85</v>
      </c>
      <c r="B90" s="70">
        <v>0.72421052631578942</v>
      </c>
      <c r="C90" s="70">
        <v>0.68799999999999994</v>
      </c>
      <c r="D90" s="70"/>
      <c r="E90" s="70">
        <v>0.9529884843882056</v>
      </c>
      <c r="F90" s="70">
        <v>0.97911341969931098</v>
      </c>
      <c r="G90" s="70">
        <v>1.196580241551539</v>
      </c>
    </row>
    <row r="91" spans="1:8" x14ac:dyDescent="0.3">
      <c r="A91" t="s">
        <v>86</v>
      </c>
      <c r="B91" s="70"/>
      <c r="C91" s="70">
        <v>1.9955238095238097</v>
      </c>
      <c r="D91" s="70"/>
      <c r="E91" s="70">
        <v>0.93633151326671704</v>
      </c>
      <c r="F91" s="70">
        <v>0.96199981945778934</v>
      </c>
      <c r="G91" s="70">
        <v>1.0924786279455403</v>
      </c>
    </row>
    <row r="92" spans="1:8" x14ac:dyDescent="0.3">
      <c r="A92" t="s">
        <v>84</v>
      </c>
      <c r="B92" s="70">
        <v>1.5909523809523811</v>
      </c>
      <c r="C92" s="70">
        <v>2.3864285714285716</v>
      </c>
      <c r="D92" s="70"/>
      <c r="E92" s="70">
        <v>1.0916414005848523</v>
      </c>
      <c r="F92" s="70">
        <v>0.57536267078761261</v>
      </c>
      <c r="G92" s="70">
        <v>0.80696991543958141</v>
      </c>
      <c r="H92" s="69" t="s">
        <v>110</v>
      </c>
    </row>
    <row r="93" spans="1:8" x14ac:dyDescent="0.3">
      <c r="A93" t="s">
        <v>89</v>
      </c>
      <c r="B93" s="70">
        <v>1.1428571428571428</v>
      </c>
      <c r="C93" s="70">
        <v>2.8571428571428568</v>
      </c>
      <c r="D93" s="70">
        <v>0.77391925465838518</v>
      </c>
      <c r="E93" s="70">
        <v>1.2934115693312727</v>
      </c>
      <c r="F93" s="70">
        <v>0.73960495718874653</v>
      </c>
      <c r="G93" s="70">
        <v>0.9731876023924545</v>
      </c>
      <c r="H93" s="69" t="s">
        <v>110</v>
      </c>
    </row>
    <row r="94" spans="1:8" x14ac:dyDescent="0.3">
      <c r="A94" t="s">
        <v>90</v>
      </c>
      <c r="B94" s="70">
        <v>0.98714285714285721</v>
      </c>
      <c r="C94" s="70">
        <v>1.4807142857142856</v>
      </c>
      <c r="D94" s="70">
        <v>0.70317857142857143</v>
      </c>
      <c r="E94" s="70">
        <v>0.84753620281673125</v>
      </c>
      <c r="F94" s="70">
        <v>0.68090525456048934</v>
      </c>
      <c r="G94" s="70">
        <v>0.90267892388880666</v>
      </c>
      <c r="H94" s="69" t="s">
        <v>110</v>
      </c>
    </row>
    <row r="95" spans="1:8" x14ac:dyDescent="0.3">
      <c r="A95" t="s">
        <v>91</v>
      </c>
      <c r="B95" s="70">
        <v>0.60759999999999992</v>
      </c>
      <c r="C95" s="70">
        <v>0.44676470588235284</v>
      </c>
      <c r="D95" s="70">
        <v>0.73133445054945057</v>
      </c>
      <c r="E95" s="70">
        <v>1.5302983164139052</v>
      </c>
      <c r="F95" s="70">
        <v>1.1781332379115355</v>
      </c>
      <c r="G95" s="70">
        <v>1.6049501265137844</v>
      </c>
      <c r="H95" s="69" t="s">
        <v>110</v>
      </c>
    </row>
    <row r="96" spans="1:8" x14ac:dyDescent="0.3">
      <c r="A96" t="s">
        <v>87</v>
      </c>
      <c r="B96" s="70">
        <v>0.95950000000000002</v>
      </c>
      <c r="C96" s="70">
        <v>1.919</v>
      </c>
      <c r="D96" s="70">
        <v>1.0913683229813664</v>
      </c>
      <c r="E96" s="70">
        <v>0.80350409473165085</v>
      </c>
      <c r="F96" s="70">
        <v>0.72011134873791594</v>
      </c>
      <c r="G96" s="70">
        <v>0.99342757073650456</v>
      </c>
      <c r="H96" s="69" t="s">
        <v>110</v>
      </c>
    </row>
    <row r="97" spans="1:8" x14ac:dyDescent="0.3">
      <c r="A97" t="s">
        <v>88</v>
      </c>
      <c r="B97" s="70">
        <v>0.96888888888888902</v>
      </c>
      <c r="C97" s="70">
        <v>0.96888888888888902</v>
      </c>
      <c r="D97" s="70">
        <v>0.8219428571428572</v>
      </c>
      <c r="E97" s="70">
        <v>1.3350539985704257</v>
      </c>
      <c r="F97" s="70">
        <v>1.3410928101974446</v>
      </c>
      <c r="G97" s="70">
        <v>1.5453051682501013</v>
      </c>
      <c r="H97" s="69" t="s">
        <v>110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B3" sqref="B3"/>
    </sheetView>
  </sheetViews>
  <sheetFormatPr defaultRowHeight="14.4" x14ac:dyDescent="0.3"/>
  <cols>
    <col min="1" max="1" width="38.33203125" customWidth="1"/>
    <col min="2" max="2" width="11.109375" customWidth="1"/>
    <col min="6" max="7" width="9.109375" customWidth="1"/>
    <col min="10" max="10" width="16" customWidth="1"/>
    <col min="11" max="11" width="12.6640625" customWidth="1"/>
  </cols>
  <sheetData>
    <row r="1" spans="1:11" ht="15" x14ac:dyDescent="0.25">
      <c r="A1" s="1" t="s">
        <v>34</v>
      </c>
      <c r="D1" s="5" t="s">
        <v>46</v>
      </c>
    </row>
    <row r="2" spans="1:11" ht="15" x14ac:dyDescent="0.25">
      <c r="A2" s="1" t="s">
        <v>3</v>
      </c>
      <c r="D2" s="10" t="s">
        <v>47</v>
      </c>
    </row>
    <row r="3" spans="1:11" ht="15" x14ac:dyDescent="0.25">
      <c r="A3" s="1" t="s">
        <v>4</v>
      </c>
      <c r="B3" s="62">
        <v>0.35</v>
      </c>
    </row>
    <row r="4" spans="1:11" ht="15" x14ac:dyDescent="0.25">
      <c r="A4" s="1" t="s">
        <v>5</v>
      </c>
      <c r="B4" s="3"/>
      <c r="F4" s="1" t="s">
        <v>2</v>
      </c>
      <c r="G4" s="1" t="s">
        <v>0</v>
      </c>
      <c r="I4" s="1" t="s">
        <v>40</v>
      </c>
      <c r="J4" s="1" t="s">
        <v>1</v>
      </c>
      <c r="K4" s="1" t="s">
        <v>41</v>
      </c>
    </row>
    <row r="5" spans="1:11" x14ac:dyDescent="0.3">
      <c r="A5" s="45" t="s">
        <v>6</v>
      </c>
      <c r="B5" s="46">
        <v>2</v>
      </c>
      <c r="E5">
        <v>2005</v>
      </c>
      <c r="F5">
        <v>0.4733</v>
      </c>
      <c r="G5">
        <v>1177000</v>
      </c>
      <c r="H5" s="5">
        <v>2005</v>
      </c>
      <c r="I5">
        <v>4.7000000000000002E-3</v>
      </c>
      <c r="J5" s="3">
        <v>2842586</v>
      </c>
      <c r="K5">
        <f>J5*I5</f>
        <v>13360.154200000001</v>
      </c>
    </row>
    <row r="6" spans="1:11" x14ac:dyDescent="0.3">
      <c r="A6" s="45" t="s">
        <v>7</v>
      </c>
      <c r="B6" s="46">
        <v>0.28000000000000003</v>
      </c>
      <c r="C6">
        <f>1.5*B21</f>
        <v>0.44999999999999996</v>
      </c>
      <c r="E6">
        <f>E5+1</f>
        <v>2006</v>
      </c>
      <c r="F6">
        <v>0.40189999999999998</v>
      </c>
      <c r="G6">
        <v>983000</v>
      </c>
      <c r="H6" s="5">
        <f>H5+1</f>
        <v>2006</v>
      </c>
      <c r="I6">
        <v>4.8999999999999998E-3</v>
      </c>
      <c r="J6" s="3">
        <v>10851128</v>
      </c>
      <c r="K6" s="5">
        <f t="shared" ref="K6:K60" si="0">J6*I6</f>
        <v>53170.527199999997</v>
      </c>
    </row>
    <row r="7" spans="1:11" ht="15" x14ac:dyDescent="0.25">
      <c r="A7" s="1" t="s">
        <v>66</v>
      </c>
      <c r="B7" s="40">
        <f>F12</f>
        <v>0.38764285714285707</v>
      </c>
      <c r="E7" s="5">
        <f t="shared" ref="E7:E10" si="1">E6+1</f>
        <v>2007</v>
      </c>
      <c r="F7">
        <v>0.3755</v>
      </c>
      <c r="G7">
        <v>892000</v>
      </c>
      <c r="H7" s="5">
        <f t="shared" ref="H7:H10" si="2">H6+1</f>
        <v>2007</v>
      </c>
      <c r="I7">
        <v>5.5999999999999999E-3</v>
      </c>
      <c r="J7" s="3">
        <v>13796000</v>
      </c>
      <c r="K7" s="5">
        <f t="shared" si="0"/>
        <v>77257.600000000006</v>
      </c>
    </row>
    <row r="8" spans="1:11" ht="15" x14ac:dyDescent="0.25">
      <c r="A8" s="1" t="s">
        <v>9</v>
      </c>
      <c r="B8" s="40">
        <f>F15</f>
        <v>0.34027436522400101</v>
      </c>
      <c r="E8" s="5">
        <f t="shared" si="1"/>
        <v>2008</v>
      </c>
      <c r="F8">
        <v>0.3856</v>
      </c>
      <c r="G8">
        <v>996000</v>
      </c>
      <c r="H8" s="5">
        <f t="shared" si="2"/>
        <v>2008</v>
      </c>
      <c r="I8">
        <v>6.7999999999999996E-3</v>
      </c>
      <c r="J8" s="3">
        <v>6390863</v>
      </c>
      <c r="K8" s="5">
        <f t="shared" si="0"/>
        <v>43457.868399999999</v>
      </c>
    </row>
    <row r="9" spans="1:11" ht="15" x14ac:dyDescent="0.25">
      <c r="A9" s="1" t="s">
        <v>10</v>
      </c>
      <c r="B9" s="40">
        <f>F16</f>
        <v>0.43501134906171313</v>
      </c>
      <c r="E9" s="5">
        <f t="shared" si="1"/>
        <v>2009</v>
      </c>
      <c r="F9">
        <v>0.45279999999999998</v>
      </c>
      <c r="G9">
        <v>949000</v>
      </c>
      <c r="H9" s="5">
        <f t="shared" si="2"/>
        <v>2009</v>
      </c>
      <c r="I9">
        <v>5.0000000000000001E-3</v>
      </c>
      <c r="J9" s="3">
        <v>21145000</v>
      </c>
      <c r="K9" s="5">
        <f t="shared" si="0"/>
        <v>105725</v>
      </c>
    </row>
    <row r="10" spans="1:11" ht="15" x14ac:dyDescent="0.25">
      <c r="A10" s="1" t="s">
        <v>11</v>
      </c>
      <c r="B10" s="3">
        <f>G12</f>
        <v>981000</v>
      </c>
      <c r="E10" s="5">
        <f t="shared" si="1"/>
        <v>2010</v>
      </c>
      <c r="F10">
        <v>0.33679999999999999</v>
      </c>
      <c r="G10">
        <v>1061000</v>
      </c>
      <c r="H10" s="5">
        <f t="shared" si="2"/>
        <v>2010</v>
      </c>
      <c r="I10">
        <v>5.1999999999999998E-3</v>
      </c>
      <c r="J10" s="3">
        <v>4584000</v>
      </c>
      <c r="K10" s="5">
        <f t="shared" si="0"/>
        <v>23836.799999999999</v>
      </c>
    </row>
    <row r="11" spans="1:11" ht="15" x14ac:dyDescent="0.25">
      <c r="A11" s="1" t="s">
        <v>12</v>
      </c>
      <c r="B11" s="3">
        <f>G15</f>
        <v>893568.68295627704</v>
      </c>
      <c r="E11">
        <v>2011</v>
      </c>
      <c r="F11">
        <v>0.28760000000000002</v>
      </c>
      <c r="G11">
        <v>809000</v>
      </c>
      <c r="H11" s="5">
        <v>2011</v>
      </c>
      <c r="I11" s="5">
        <v>4.0000000000000001E-3</v>
      </c>
      <c r="J11" s="5">
        <v>8753340</v>
      </c>
      <c r="K11" s="5">
        <f t="shared" si="0"/>
        <v>35013.360000000001</v>
      </c>
    </row>
    <row r="12" spans="1:11" ht="15" x14ac:dyDescent="0.25">
      <c r="A12" s="1" t="s">
        <v>13</v>
      </c>
      <c r="B12" s="3">
        <f>G16</f>
        <v>1068431.3170437228</v>
      </c>
      <c r="E12" s="5" t="s">
        <v>35</v>
      </c>
      <c r="F12" s="4">
        <f>AVERAGE(F5:F11)</f>
        <v>0.38764285714285707</v>
      </c>
      <c r="G12" s="3">
        <f>AVERAGE(G5:G11)</f>
        <v>981000</v>
      </c>
      <c r="H12" s="5">
        <v>2005</v>
      </c>
      <c r="I12">
        <v>6.8999999999999999E-3</v>
      </c>
      <c r="J12" s="3">
        <v>30967900</v>
      </c>
      <c r="K12" s="5">
        <f t="shared" si="0"/>
        <v>213678.51</v>
      </c>
    </row>
    <row r="13" spans="1:11" ht="15" x14ac:dyDescent="0.25">
      <c r="A13" s="1" t="s">
        <v>14</v>
      </c>
      <c r="B13" s="6">
        <v>4</v>
      </c>
      <c r="E13" s="5" t="s">
        <v>36</v>
      </c>
      <c r="F13" s="4">
        <f>STDEV(F5:F11)</f>
        <v>6.3941453876258103E-2</v>
      </c>
      <c r="G13" s="3">
        <f>STDEV(G5:G11)</f>
        <v>118021.1845390479</v>
      </c>
      <c r="H13" s="5">
        <f>H12+1</f>
        <v>2006</v>
      </c>
      <c r="I13">
        <v>7.7999999999999996E-3</v>
      </c>
      <c r="J13" s="3">
        <v>3265522</v>
      </c>
      <c r="K13" s="5">
        <f t="shared" si="0"/>
        <v>25471.071599999999</v>
      </c>
    </row>
    <row r="14" spans="1:11" ht="15" x14ac:dyDescent="0.25">
      <c r="A14" s="1" t="s">
        <v>15</v>
      </c>
      <c r="B14" s="4">
        <f>K62*1000</f>
        <v>8.1200965227652144</v>
      </c>
      <c r="E14" s="5" t="s">
        <v>37</v>
      </c>
      <c r="F14" s="4">
        <f>F13/SQRT(COUNT(F5:F11))</f>
        <v>2.4167597917783702E-2</v>
      </c>
      <c r="G14" s="3">
        <f>G13/SQRT(COUNT(G5:G11))</f>
        <v>44607.81481822599</v>
      </c>
      <c r="H14" s="5">
        <f t="shared" ref="H14:H17" si="3">H13+1</f>
        <v>2007</v>
      </c>
      <c r="I14">
        <v>7.7000000000000002E-3</v>
      </c>
      <c r="J14" s="3">
        <v>11968000</v>
      </c>
      <c r="K14" s="5">
        <f t="shared" si="0"/>
        <v>92153.600000000006</v>
      </c>
    </row>
    <row r="15" spans="1:11" ht="15" x14ac:dyDescent="0.25">
      <c r="A15" s="1" t="s">
        <v>16</v>
      </c>
      <c r="B15" s="7">
        <f>B7/B6</f>
        <v>1.3844387755102037</v>
      </c>
      <c r="E15" s="5" t="s">
        <v>38</v>
      </c>
      <c r="F15" s="4">
        <f>F12-1.96*F14</f>
        <v>0.34027436522400101</v>
      </c>
      <c r="G15" s="3">
        <f>G12-1.96*G14</f>
        <v>893568.68295627704</v>
      </c>
      <c r="H15" s="5">
        <f t="shared" si="3"/>
        <v>2008</v>
      </c>
      <c r="I15">
        <v>9.1999999999999998E-3</v>
      </c>
      <c r="J15" s="3">
        <v>15479241</v>
      </c>
      <c r="K15" s="5">
        <f t="shared" si="0"/>
        <v>142409.0172</v>
      </c>
    </row>
    <row r="16" spans="1:11" ht="15" x14ac:dyDescent="0.25">
      <c r="A16" s="1" t="s">
        <v>65</v>
      </c>
      <c r="B16" s="7">
        <f>B7/B3</f>
        <v>1.1075510204081631</v>
      </c>
      <c r="E16" s="5" t="s">
        <v>39</v>
      </c>
      <c r="F16" s="4">
        <f>F12+1.96*F14</f>
        <v>0.43501134906171313</v>
      </c>
      <c r="G16" s="3">
        <f>G12+1.96*G14</f>
        <v>1068431.3170437228</v>
      </c>
      <c r="H16" s="5">
        <f t="shared" si="3"/>
        <v>2009</v>
      </c>
      <c r="I16">
        <v>9.1999999999999998E-3</v>
      </c>
      <c r="J16" s="3">
        <v>8891000</v>
      </c>
      <c r="K16" s="5">
        <f t="shared" si="0"/>
        <v>81797.2</v>
      </c>
    </row>
    <row r="17" spans="1:11" ht="15" x14ac:dyDescent="0.25">
      <c r="A17" s="1" t="s">
        <v>17</v>
      </c>
      <c r="E17" s="5"/>
      <c r="H17" s="5">
        <f t="shared" si="3"/>
        <v>2010</v>
      </c>
      <c r="I17">
        <v>8.0000000000000002E-3</v>
      </c>
      <c r="J17" s="3">
        <v>21493000</v>
      </c>
      <c r="K17" s="5">
        <f t="shared" si="0"/>
        <v>171944</v>
      </c>
    </row>
    <row r="18" spans="1:11" ht="15" x14ac:dyDescent="0.25">
      <c r="A18" s="1" t="s">
        <v>18</v>
      </c>
      <c r="B18">
        <v>8.0000000000000002E-3</v>
      </c>
      <c r="H18" s="5">
        <v>2011</v>
      </c>
      <c r="I18" s="5">
        <v>9.1000000000000004E-3</v>
      </c>
      <c r="J18" s="11">
        <v>4334644</v>
      </c>
      <c r="K18" s="5">
        <f t="shared" si="0"/>
        <v>39445.260399999999</v>
      </c>
    </row>
    <row r="19" spans="1:11" ht="15" x14ac:dyDescent="0.25">
      <c r="A19" s="1" t="s">
        <v>19</v>
      </c>
      <c r="B19">
        <v>2.9</v>
      </c>
      <c r="H19" s="5">
        <v>2005</v>
      </c>
      <c r="I19">
        <v>8.0999999999999996E-3</v>
      </c>
      <c r="J19" s="3">
        <v>11254006</v>
      </c>
      <c r="K19" s="5">
        <f t="shared" si="0"/>
        <v>91157.448599999989</v>
      </c>
    </row>
    <row r="20" spans="1:11" ht="15" x14ac:dyDescent="0.25">
      <c r="A20" s="1" t="s">
        <v>20</v>
      </c>
      <c r="B20">
        <v>14.4</v>
      </c>
      <c r="H20" s="5">
        <f>H19+1</f>
        <v>2006</v>
      </c>
      <c r="I20">
        <v>8.2000000000000007E-3</v>
      </c>
      <c r="J20" s="3">
        <v>21097242</v>
      </c>
      <c r="K20" s="5">
        <f t="shared" si="0"/>
        <v>172997.38440000001</v>
      </c>
    </row>
    <row r="21" spans="1:11" ht="15" x14ac:dyDescent="0.25">
      <c r="A21" s="1" t="s">
        <v>21</v>
      </c>
      <c r="B21">
        <v>0.3</v>
      </c>
      <c r="H21" s="5">
        <f t="shared" ref="H21:H24" si="4">H20+1</f>
        <v>2007</v>
      </c>
      <c r="I21">
        <v>9.1000000000000004E-3</v>
      </c>
      <c r="J21" s="3">
        <v>3706000</v>
      </c>
      <c r="K21" s="5">
        <f t="shared" si="0"/>
        <v>33724.6</v>
      </c>
    </row>
    <row r="22" spans="1:11" ht="15" x14ac:dyDescent="0.25">
      <c r="A22" s="1" t="s">
        <v>22</v>
      </c>
      <c r="B22">
        <v>0</v>
      </c>
      <c r="H22" s="5">
        <f t="shared" si="4"/>
        <v>2008</v>
      </c>
      <c r="I22">
        <v>9.7999999999999997E-3</v>
      </c>
      <c r="J22" s="3">
        <v>6684347</v>
      </c>
      <c r="K22" s="5">
        <f t="shared" si="0"/>
        <v>65506.600599999998</v>
      </c>
    </row>
    <row r="23" spans="1:11" ht="15" x14ac:dyDescent="0.25">
      <c r="A23" s="1"/>
      <c r="H23" s="5">
        <f t="shared" si="4"/>
        <v>2009</v>
      </c>
      <c r="I23">
        <v>1.0500000000000001E-2</v>
      </c>
      <c r="J23" s="3">
        <v>10181000</v>
      </c>
      <c r="K23" s="5">
        <f t="shared" si="0"/>
        <v>106900.5</v>
      </c>
    </row>
    <row r="24" spans="1:11" x14ac:dyDescent="0.3">
      <c r="A24" s="1" t="s">
        <v>23</v>
      </c>
      <c r="H24" s="5">
        <f t="shared" si="4"/>
        <v>2010</v>
      </c>
      <c r="I24">
        <v>9.9000000000000008E-3</v>
      </c>
      <c r="J24" s="3">
        <v>5363000</v>
      </c>
      <c r="K24" s="5">
        <f t="shared" si="0"/>
        <v>53093.700000000004</v>
      </c>
    </row>
    <row r="25" spans="1:11" x14ac:dyDescent="0.3">
      <c r="A25" s="1" t="s">
        <v>24</v>
      </c>
      <c r="B25" s="7">
        <f>B20*(1-EXP(-B21*(B5-B22)))</f>
        <v>6.4971124402460205</v>
      </c>
      <c r="H25" s="5">
        <v>2011</v>
      </c>
      <c r="I25" s="5">
        <v>9.5999999999999992E-3</v>
      </c>
      <c r="J25" s="5">
        <v>12479155</v>
      </c>
      <c r="K25" s="5">
        <f t="shared" si="0"/>
        <v>119799.88799999999</v>
      </c>
    </row>
    <row r="26" spans="1:11" x14ac:dyDescent="0.3">
      <c r="A26" s="1" t="s">
        <v>25</v>
      </c>
      <c r="B26" s="7">
        <f>B20*3/(3+B6/B21)</f>
        <v>10.983050847457628</v>
      </c>
      <c r="C26">
        <f>2/3*B20</f>
        <v>9.6</v>
      </c>
      <c r="H26" s="5">
        <v>2005</v>
      </c>
      <c r="I26">
        <v>1.0699999999999999E-2</v>
      </c>
      <c r="J26" s="3">
        <v>2933589</v>
      </c>
      <c r="K26" s="5">
        <f t="shared" si="0"/>
        <v>31389.402299999998</v>
      </c>
    </row>
    <row r="27" spans="1:11" x14ac:dyDescent="0.3">
      <c r="A27" s="1" t="s">
        <v>26</v>
      </c>
      <c r="B27" s="7">
        <f>(B13/B18)^(1/B19)</f>
        <v>8.5247040736671007</v>
      </c>
      <c r="H27" s="5">
        <f>H26+1</f>
        <v>2006</v>
      </c>
      <c r="I27">
        <v>8.8999999999999999E-3</v>
      </c>
      <c r="J27" s="3">
        <v>6832239</v>
      </c>
      <c r="K27" s="5">
        <f t="shared" si="0"/>
        <v>60806.927100000001</v>
      </c>
    </row>
    <row r="28" spans="1:11" x14ac:dyDescent="0.3">
      <c r="A28" s="1" t="s">
        <v>27</v>
      </c>
      <c r="B28" s="7">
        <f>(B14/B18)^(1/B19)</f>
        <v>10.882137485784348</v>
      </c>
      <c r="H28" s="5">
        <f t="shared" ref="H28:H31" si="5">H27+1</f>
        <v>2007</v>
      </c>
      <c r="I28">
        <v>9.1999999999999998E-3</v>
      </c>
      <c r="J28" s="3">
        <v>13723000</v>
      </c>
      <c r="K28" s="5">
        <f t="shared" si="0"/>
        <v>126251.59999999999</v>
      </c>
    </row>
    <row r="29" spans="1:11" x14ac:dyDescent="0.3">
      <c r="A29" s="1" t="s">
        <v>28</v>
      </c>
      <c r="B29" s="7">
        <f>(B20*B21+2*B27*B6)/(B21+2*B6)</f>
        <v>10.574225908434391</v>
      </c>
      <c r="C29" s="65">
        <f>(3*B27+B20)/4</f>
        <v>9.9935280552503247</v>
      </c>
      <c r="H29" s="5">
        <f t="shared" si="5"/>
        <v>2008</v>
      </c>
      <c r="I29">
        <v>1.0500000000000001E-2</v>
      </c>
      <c r="J29" s="3">
        <v>2936620</v>
      </c>
      <c r="K29" s="5">
        <f t="shared" si="0"/>
        <v>30834.510000000002</v>
      </c>
    </row>
    <row r="30" spans="1:11" x14ac:dyDescent="0.3">
      <c r="A30" s="1"/>
      <c r="H30" s="5">
        <f t="shared" si="5"/>
        <v>2009</v>
      </c>
      <c r="I30">
        <v>1.09E-2</v>
      </c>
      <c r="J30" s="3">
        <v>3905000</v>
      </c>
      <c r="K30" s="5">
        <f t="shared" si="0"/>
        <v>42564.5</v>
      </c>
    </row>
    <row r="31" spans="1:11" x14ac:dyDescent="0.3">
      <c r="A31" s="1"/>
      <c r="H31" s="5">
        <f t="shared" si="5"/>
        <v>2010</v>
      </c>
      <c r="I31">
        <v>1.0699999999999999E-2</v>
      </c>
      <c r="J31" s="3">
        <v>4234000</v>
      </c>
      <c r="K31" s="5">
        <f t="shared" si="0"/>
        <v>45303.799999999996</v>
      </c>
    </row>
    <row r="32" spans="1:11" x14ac:dyDescent="0.3">
      <c r="A32" s="1" t="s">
        <v>29</v>
      </c>
      <c r="H32" s="5">
        <v>2011</v>
      </c>
      <c r="I32" s="5">
        <v>1.0699999999999999E-2</v>
      </c>
      <c r="J32" s="5">
        <v>2692668</v>
      </c>
      <c r="K32" s="5">
        <f t="shared" si="0"/>
        <v>28811.547599999998</v>
      </c>
    </row>
    <row r="33" spans="1:12" x14ac:dyDescent="0.3">
      <c r="A33" s="1" t="s">
        <v>30</v>
      </c>
      <c r="H33" s="5">
        <v>2005</v>
      </c>
      <c r="I33">
        <v>1.12E-2</v>
      </c>
      <c r="J33" s="3">
        <v>1868255</v>
      </c>
      <c r="K33" s="5">
        <f t="shared" si="0"/>
        <v>20924.455999999998</v>
      </c>
    </row>
    <row r="34" spans="1:12" x14ac:dyDescent="0.3">
      <c r="A34" s="1" t="s">
        <v>31</v>
      </c>
      <c r="B34" s="4">
        <f>B21*(B28-B20)/(B27-B28)-B6</f>
        <v>0.16767277363599492</v>
      </c>
      <c r="H34" s="5">
        <f>H33+1</f>
        <v>2006</v>
      </c>
      <c r="I34">
        <v>1.0800000000000001E-2</v>
      </c>
      <c r="J34" s="3">
        <v>1380358</v>
      </c>
      <c r="K34" s="5">
        <f t="shared" si="0"/>
        <v>14907.866400000001</v>
      </c>
    </row>
    <row r="35" spans="1:12" x14ac:dyDescent="0.3">
      <c r="A35" s="1" t="s">
        <v>16</v>
      </c>
      <c r="B35" s="4">
        <f>B21/B6*(B28-B20)/(B27-B28)-1</f>
        <v>0.59883133441426772</v>
      </c>
      <c r="H35" s="5">
        <f t="shared" ref="H35:H38" si="6">H34+1</f>
        <v>2007</v>
      </c>
      <c r="I35">
        <v>9.1000000000000004E-3</v>
      </c>
      <c r="J35" s="3">
        <v>3855000</v>
      </c>
      <c r="K35" s="5">
        <f t="shared" si="0"/>
        <v>35080.5</v>
      </c>
    </row>
    <row r="36" spans="1:12" x14ac:dyDescent="0.3">
      <c r="A36" s="1" t="s">
        <v>32</v>
      </c>
      <c r="B36" s="4">
        <f>2*(B28-B20)/(3*(B27-B28))-1</f>
        <v>-5.1716141422334383E-3</v>
      </c>
      <c r="H36" s="5">
        <f t="shared" si="6"/>
        <v>2008</v>
      </c>
      <c r="I36">
        <v>1.03E-2</v>
      </c>
      <c r="J36" s="3">
        <v>5718800</v>
      </c>
      <c r="K36" s="5">
        <f t="shared" si="0"/>
        <v>58903.64</v>
      </c>
    </row>
    <row r="37" spans="1:12" x14ac:dyDescent="0.3">
      <c r="A37" s="1" t="s">
        <v>33</v>
      </c>
      <c r="B37" s="7">
        <f>(3*B27+B20)/4</f>
        <v>9.9935280552503247</v>
      </c>
      <c r="H37" s="5">
        <f t="shared" si="6"/>
        <v>2009</v>
      </c>
      <c r="I37">
        <v>1.14E-2</v>
      </c>
      <c r="J37" s="3">
        <v>1795000</v>
      </c>
      <c r="K37" s="5">
        <f t="shared" si="0"/>
        <v>20463</v>
      </c>
    </row>
    <row r="38" spans="1:12" x14ac:dyDescent="0.3">
      <c r="A38" s="64" t="s">
        <v>106</v>
      </c>
      <c r="B38">
        <f>B21*(B28-B20)/(B27-B28)-1.5*B21</f>
        <v>-2.3272263640050084E-3</v>
      </c>
      <c r="H38" s="5">
        <f t="shared" si="6"/>
        <v>2010</v>
      </c>
      <c r="I38">
        <v>1.0999999999999999E-2</v>
      </c>
      <c r="J38" s="3">
        <v>1239000</v>
      </c>
      <c r="K38" s="5">
        <f t="shared" si="0"/>
        <v>13629</v>
      </c>
    </row>
    <row r="39" spans="1:12" x14ac:dyDescent="0.3">
      <c r="H39" s="5">
        <v>2011</v>
      </c>
      <c r="I39" s="5">
        <v>1.14E-2</v>
      </c>
      <c r="J39" s="5">
        <v>1454903</v>
      </c>
      <c r="K39" s="5">
        <f t="shared" si="0"/>
        <v>16585.894199999999</v>
      </c>
    </row>
    <row r="40" spans="1:12" x14ac:dyDescent="0.3">
      <c r="H40" s="5">
        <v>2005</v>
      </c>
      <c r="I40">
        <v>1.1599999999999999E-2</v>
      </c>
      <c r="J40" s="3">
        <v>842965</v>
      </c>
      <c r="K40" s="5">
        <f t="shared" si="0"/>
        <v>9778.3940000000002</v>
      </c>
    </row>
    <row r="41" spans="1:12" x14ac:dyDescent="0.3">
      <c r="H41" s="5">
        <f>H40+1</f>
        <v>2006</v>
      </c>
      <c r="I41">
        <v>1.12E-2</v>
      </c>
      <c r="J41" s="3">
        <v>613632</v>
      </c>
      <c r="K41" s="5">
        <f t="shared" si="0"/>
        <v>6872.6783999999998</v>
      </c>
    </row>
    <row r="42" spans="1:12" x14ac:dyDescent="0.3">
      <c r="H42" s="5">
        <f t="shared" ref="H42:H45" si="7">H41+1</f>
        <v>2007</v>
      </c>
      <c r="I42">
        <v>1.09E-2</v>
      </c>
      <c r="J42" s="3">
        <v>623000</v>
      </c>
      <c r="K42" s="5">
        <f t="shared" si="0"/>
        <v>6790.7</v>
      </c>
    </row>
    <row r="43" spans="1:12" x14ac:dyDescent="0.3">
      <c r="H43" s="5">
        <f t="shared" si="7"/>
        <v>2008</v>
      </c>
      <c r="I43">
        <v>1.0200000000000001E-2</v>
      </c>
      <c r="J43" s="3">
        <v>2255393</v>
      </c>
      <c r="K43" s="5">
        <f t="shared" si="0"/>
        <v>23005.008600000001</v>
      </c>
    </row>
    <row r="44" spans="1:12" x14ac:dyDescent="0.3">
      <c r="H44" s="5">
        <f t="shared" si="7"/>
        <v>2009</v>
      </c>
      <c r="I44">
        <v>1.0800000000000001E-2</v>
      </c>
      <c r="J44" s="3">
        <v>2837000</v>
      </c>
      <c r="K44" s="5">
        <f t="shared" si="0"/>
        <v>30639.600000000002</v>
      </c>
    </row>
    <row r="45" spans="1:12" x14ac:dyDescent="0.3">
      <c r="H45" s="5">
        <f t="shared" si="7"/>
        <v>2010</v>
      </c>
      <c r="I45">
        <v>1.12E-2</v>
      </c>
      <c r="J45" s="3">
        <v>881000</v>
      </c>
      <c r="K45" s="5">
        <f t="shared" si="0"/>
        <v>9867.2000000000007</v>
      </c>
    </row>
    <row r="46" spans="1:12" x14ac:dyDescent="0.3">
      <c r="H46" s="5">
        <v>2011</v>
      </c>
      <c r="I46" s="5">
        <v>1.14E-2</v>
      </c>
      <c r="J46" s="5">
        <v>533446</v>
      </c>
      <c r="K46" s="5">
        <f t="shared" si="0"/>
        <v>6081.2844000000005</v>
      </c>
      <c r="L46" s="5"/>
    </row>
    <row r="47" spans="1:12" x14ac:dyDescent="0.3">
      <c r="H47" s="5">
        <v>2005</v>
      </c>
      <c r="I47">
        <v>1.0999999999999999E-2</v>
      </c>
      <c r="J47" s="3">
        <v>658605</v>
      </c>
      <c r="K47" s="5">
        <f t="shared" si="0"/>
        <v>7244.6549999999997</v>
      </c>
    </row>
    <row r="48" spans="1:12" x14ac:dyDescent="0.3">
      <c r="H48" s="5">
        <f>H47+1</f>
        <v>2006</v>
      </c>
      <c r="I48">
        <v>1.11E-2</v>
      </c>
      <c r="J48" s="3">
        <v>405085</v>
      </c>
      <c r="K48" s="5">
        <f t="shared" si="0"/>
        <v>4496.4435000000003</v>
      </c>
    </row>
    <row r="49" spans="8:12" x14ac:dyDescent="0.3">
      <c r="H49" s="5">
        <f t="shared" ref="H49:H52" si="8">H48+1</f>
        <v>2007</v>
      </c>
      <c r="I49">
        <v>1.1299999999999999E-2</v>
      </c>
      <c r="J49" s="3">
        <v>301000</v>
      </c>
      <c r="K49" s="5">
        <f t="shared" si="0"/>
        <v>3401.2999999999997</v>
      </c>
    </row>
    <row r="50" spans="8:12" x14ac:dyDescent="0.3">
      <c r="H50" s="5">
        <f t="shared" si="8"/>
        <v>2008</v>
      </c>
      <c r="I50">
        <v>1.12E-2</v>
      </c>
      <c r="J50" s="3">
        <v>299070</v>
      </c>
      <c r="K50" s="5">
        <f t="shared" si="0"/>
        <v>3349.5839999999998</v>
      </c>
    </row>
    <row r="51" spans="8:12" x14ac:dyDescent="0.3">
      <c r="H51" s="5">
        <f t="shared" si="8"/>
        <v>2009</v>
      </c>
      <c r="I51">
        <v>1.0999999999999999E-2</v>
      </c>
      <c r="J51" s="3">
        <v>1008000</v>
      </c>
      <c r="K51" s="5">
        <f t="shared" si="0"/>
        <v>11088</v>
      </c>
    </row>
    <row r="52" spans="8:12" x14ac:dyDescent="0.3">
      <c r="H52" s="5">
        <f t="shared" si="8"/>
        <v>2010</v>
      </c>
      <c r="I52">
        <v>1.0800000000000001E-2</v>
      </c>
      <c r="J52" s="3">
        <v>994000</v>
      </c>
      <c r="K52" s="5">
        <f t="shared" si="0"/>
        <v>10735.2</v>
      </c>
    </row>
    <row r="53" spans="8:12" x14ac:dyDescent="0.3">
      <c r="H53" s="5">
        <v>2011</v>
      </c>
      <c r="I53" s="5">
        <v>1.14E-2</v>
      </c>
      <c r="J53" s="3">
        <v>373088</v>
      </c>
      <c r="K53" s="5">
        <f t="shared" si="0"/>
        <v>4253.2031999999999</v>
      </c>
      <c r="L53" s="5"/>
    </row>
    <row r="54" spans="8:12" x14ac:dyDescent="0.3">
      <c r="H54" s="5">
        <v>2005</v>
      </c>
      <c r="I54">
        <v>1.1299999999999999E-2</v>
      </c>
      <c r="J54" s="3">
        <v>615157</v>
      </c>
      <c r="K54" s="5">
        <f t="shared" si="0"/>
        <v>6951.2740999999996</v>
      </c>
    </row>
    <row r="55" spans="8:12" x14ac:dyDescent="0.3">
      <c r="H55" s="5">
        <f>H54+1</f>
        <v>2006</v>
      </c>
      <c r="I55">
        <v>1.14E-2</v>
      </c>
      <c r="J55" s="3">
        <v>529977</v>
      </c>
      <c r="K55" s="5">
        <f t="shared" si="0"/>
        <v>6041.7377999999999</v>
      </c>
    </row>
    <row r="56" spans="8:12" x14ac:dyDescent="0.3">
      <c r="H56" s="5">
        <f t="shared" ref="H56:H59" si="9">H55+1</f>
        <v>2007</v>
      </c>
      <c r="I56">
        <v>1.0999999999999999E-2</v>
      </c>
      <c r="J56" s="3">
        <v>539000</v>
      </c>
      <c r="K56" s="5">
        <f t="shared" si="0"/>
        <v>5929</v>
      </c>
    </row>
    <row r="57" spans="8:12" x14ac:dyDescent="0.3">
      <c r="H57" s="5">
        <f t="shared" si="9"/>
        <v>2008</v>
      </c>
      <c r="I57">
        <v>1.2200000000000001E-2</v>
      </c>
      <c r="J57" s="3">
        <v>362477</v>
      </c>
      <c r="K57" s="5">
        <f t="shared" si="0"/>
        <v>4422.2194</v>
      </c>
    </row>
    <row r="58" spans="8:12" x14ac:dyDescent="0.3">
      <c r="H58" s="5">
        <f t="shared" si="9"/>
        <v>2009</v>
      </c>
      <c r="I58">
        <v>1.2E-2</v>
      </c>
      <c r="J58" s="3">
        <v>353000</v>
      </c>
      <c r="K58" s="5">
        <f t="shared" si="0"/>
        <v>4236</v>
      </c>
    </row>
    <row r="59" spans="8:12" x14ac:dyDescent="0.3">
      <c r="H59" s="5">
        <f t="shared" si="9"/>
        <v>2010</v>
      </c>
      <c r="I59">
        <v>1.14E-2</v>
      </c>
      <c r="J59" s="3">
        <v>511000</v>
      </c>
      <c r="K59" s="5">
        <f t="shared" si="0"/>
        <v>5825.4000000000005</v>
      </c>
    </row>
    <row r="60" spans="8:12" x14ac:dyDescent="0.3">
      <c r="H60" s="5">
        <v>2011</v>
      </c>
      <c r="I60" s="5">
        <v>1.24E-2</v>
      </c>
      <c r="J60" s="3">
        <v>558435</v>
      </c>
      <c r="K60" s="5">
        <f t="shared" si="0"/>
        <v>6924.5940000000001</v>
      </c>
    </row>
    <row r="61" spans="8:12" x14ac:dyDescent="0.3">
      <c r="H61" t="s">
        <v>42</v>
      </c>
      <c r="J61" s="3">
        <f>SUM(J5:J60)</f>
        <v>306189736</v>
      </c>
      <c r="K61" s="3">
        <f>SUM(K5:K60)</f>
        <v>2486290.2105999994</v>
      </c>
    </row>
    <row r="62" spans="8:12" x14ac:dyDescent="0.3">
      <c r="H62" t="s">
        <v>43</v>
      </c>
      <c r="K62">
        <f>K61/J61</f>
        <v>8.1200965227652151E-3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7" workbookViewId="0">
      <selection activeCell="B36" sqref="B36"/>
    </sheetView>
  </sheetViews>
  <sheetFormatPr defaultRowHeight="14.4" x14ac:dyDescent="0.3"/>
  <cols>
    <col min="1" max="1" width="26.5546875" customWidth="1"/>
  </cols>
  <sheetData>
    <row r="1" spans="1:11" x14ac:dyDescent="0.3">
      <c r="A1" s="38" t="s">
        <v>67</v>
      </c>
      <c r="B1" s="42"/>
      <c r="C1" s="42"/>
      <c r="F1" t="s">
        <v>68</v>
      </c>
    </row>
    <row r="2" spans="1:11" x14ac:dyDescent="0.3">
      <c r="A2" s="38" t="s">
        <v>3</v>
      </c>
      <c r="B2" s="42"/>
      <c r="C2" s="42"/>
    </row>
    <row r="3" spans="1:11" x14ac:dyDescent="0.3">
      <c r="A3" s="38" t="s">
        <v>4</v>
      </c>
      <c r="B3" s="42">
        <v>0.3</v>
      </c>
      <c r="C3" s="42"/>
    </row>
    <row r="4" spans="1:11" x14ac:dyDescent="0.3">
      <c r="A4" s="38" t="s">
        <v>5</v>
      </c>
      <c r="B4" s="43"/>
      <c r="C4" s="42"/>
      <c r="F4" s="42"/>
      <c r="G4" s="38" t="s">
        <v>2</v>
      </c>
      <c r="H4" s="38" t="s">
        <v>0</v>
      </c>
      <c r="I4" s="52" t="s">
        <v>69</v>
      </c>
      <c r="J4" s="52" t="s">
        <v>70</v>
      </c>
      <c r="K4" s="52" t="s">
        <v>71</v>
      </c>
    </row>
    <row r="5" spans="1:11" x14ac:dyDescent="0.3">
      <c r="A5" s="45" t="s">
        <v>6</v>
      </c>
      <c r="B5" s="46">
        <v>3</v>
      </c>
      <c r="C5" s="42"/>
      <c r="F5" s="42">
        <v>2005</v>
      </c>
      <c r="G5" s="35">
        <v>0.95340000000000003</v>
      </c>
      <c r="H5" s="47">
        <v>65577</v>
      </c>
      <c r="I5" s="54">
        <v>36.052424065789516</v>
      </c>
      <c r="J5" s="50">
        <v>6840</v>
      </c>
      <c r="K5">
        <f>J5*I5</f>
        <v>246598.5806100003</v>
      </c>
    </row>
    <row r="6" spans="1:11" x14ac:dyDescent="0.3">
      <c r="A6" s="45" t="s">
        <v>7</v>
      </c>
      <c r="B6" s="46">
        <v>0.2</v>
      </c>
      <c r="C6" s="42">
        <f>1.5*B22</f>
        <v>0.19500000000000001</v>
      </c>
      <c r="F6" s="42">
        <f>F5+1</f>
        <v>2006</v>
      </c>
      <c r="G6" s="35">
        <v>0.78010000000000002</v>
      </c>
      <c r="H6" s="47">
        <v>83503</v>
      </c>
      <c r="I6" s="51">
        <v>38.965722788985367</v>
      </c>
      <c r="J6" s="50">
        <v>12582</v>
      </c>
      <c r="K6" s="50">
        <f t="shared" ref="K6:K46" si="0">J6*I6</f>
        <v>490266.72413101391</v>
      </c>
    </row>
    <row r="7" spans="1:11" x14ac:dyDescent="0.3">
      <c r="A7" s="38" t="s">
        <v>61</v>
      </c>
      <c r="B7" s="40">
        <f>G12</f>
        <v>0.47728571428571431</v>
      </c>
      <c r="C7" s="42"/>
      <c r="F7" s="42">
        <f t="shared" ref="F7:F10" si="1">F6+1</f>
        <v>2007</v>
      </c>
      <c r="G7" s="35">
        <v>0.53969999999999996</v>
      </c>
      <c r="H7" s="47">
        <v>101652</v>
      </c>
      <c r="I7" s="51">
        <v>38.991467555418481</v>
      </c>
      <c r="J7" s="50">
        <v>5931</v>
      </c>
      <c r="K7" s="50">
        <f t="shared" si="0"/>
        <v>231258.39407118701</v>
      </c>
    </row>
    <row r="8" spans="1:11" x14ac:dyDescent="0.3">
      <c r="A8" s="38" t="s">
        <v>9</v>
      </c>
      <c r="B8" s="40">
        <f>G15</f>
        <v>0.26351669880716877</v>
      </c>
      <c r="C8" s="42"/>
      <c r="F8" s="42">
        <f t="shared" si="1"/>
        <v>2008</v>
      </c>
      <c r="G8" s="35">
        <v>0.2656</v>
      </c>
      <c r="H8" s="47">
        <v>119417</v>
      </c>
      <c r="I8" s="51">
        <v>39.946053708072597</v>
      </c>
      <c r="J8" s="50">
        <v>5689</v>
      </c>
      <c r="K8" s="50">
        <f t="shared" si="0"/>
        <v>227253.09954522501</v>
      </c>
    </row>
    <row r="9" spans="1:11" x14ac:dyDescent="0.3">
      <c r="A9" s="38" t="s">
        <v>10</v>
      </c>
      <c r="B9" s="40">
        <f>G16</f>
        <v>0.69105472976425986</v>
      </c>
      <c r="C9" s="42"/>
      <c r="F9" s="42">
        <f t="shared" si="1"/>
        <v>2009</v>
      </c>
      <c r="G9" s="35">
        <v>0.26250000000000001</v>
      </c>
      <c r="H9" s="47">
        <v>184040</v>
      </c>
      <c r="I9" s="51">
        <v>40.763795154193346</v>
      </c>
      <c r="J9" s="50">
        <v>5490</v>
      </c>
      <c r="K9" s="50">
        <f t="shared" si="0"/>
        <v>223793.23539652146</v>
      </c>
    </row>
    <row r="10" spans="1:11" x14ac:dyDescent="0.3">
      <c r="A10" s="38" t="s">
        <v>62</v>
      </c>
      <c r="B10" s="43">
        <f>H12</f>
        <v>139097.85714285713</v>
      </c>
      <c r="C10" s="42"/>
      <c r="F10" s="42">
        <f t="shared" si="1"/>
        <v>2010</v>
      </c>
      <c r="G10" s="35">
        <v>0.28260000000000002</v>
      </c>
      <c r="H10" s="47">
        <v>208152</v>
      </c>
      <c r="I10" s="51">
        <v>43.294989911200773</v>
      </c>
      <c r="J10" s="50">
        <v>14885</v>
      </c>
      <c r="K10" s="50">
        <f t="shared" si="0"/>
        <v>644445.92482822353</v>
      </c>
    </row>
    <row r="11" spans="1:11" x14ac:dyDescent="0.3">
      <c r="A11" s="38" t="s">
        <v>12</v>
      </c>
      <c r="B11" s="43">
        <f>H15</f>
        <v>93941.420123600023</v>
      </c>
      <c r="C11" s="42"/>
      <c r="F11" s="42">
        <v>2011</v>
      </c>
      <c r="G11" s="35">
        <v>0.2571</v>
      </c>
      <c r="H11" s="47">
        <v>211344</v>
      </c>
      <c r="I11" s="51">
        <v>43.31593511669243</v>
      </c>
      <c r="J11" s="50">
        <v>19350</v>
      </c>
      <c r="K11" s="50">
        <f t="shared" si="0"/>
        <v>838163.34450799855</v>
      </c>
    </row>
    <row r="12" spans="1:11" x14ac:dyDescent="0.3">
      <c r="A12" s="38" t="s">
        <v>13</v>
      </c>
      <c r="B12" s="43">
        <f>H16</f>
        <v>184254.29416211424</v>
      </c>
      <c r="C12" s="42"/>
      <c r="F12" s="42" t="s">
        <v>35</v>
      </c>
      <c r="G12" s="40">
        <f>AVERAGE(G5:G11)</f>
        <v>0.47728571428571431</v>
      </c>
      <c r="H12" s="43">
        <f>AVERAGE(H5:H11)</f>
        <v>139097.85714285713</v>
      </c>
      <c r="I12" s="54">
        <v>43.441191519015213</v>
      </c>
      <c r="J12" s="53">
        <v>43569</v>
      </c>
      <c r="K12" s="50">
        <f t="shared" si="0"/>
        <v>1892689.2732919739</v>
      </c>
    </row>
    <row r="13" spans="1:11" x14ac:dyDescent="0.3">
      <c r="A13" s="38" t="s">
        <v>14</v>
      </c>
      <c r="B13" s="6">
        <v>406</v>
      </c>
      <c r="C13" s="42"/>
      <c r="F13" s="42" t="s">
        <v>36</v>
      </c>
      <c r="G13" s="40">
        <f>STDEV(G5:G11)</f>
        <v>0.28856104743232081</v>
      </c>
      <c r="H13" s="43">
        <f>STDEV(H5:H11)</f>
        <v>60955.460431992396</v>
      </c>
      <c r="I13" s="51">
        <v>43.524304119975945</v>
      </c>
      <c r="J13" s="50">
        <v>19445</v>
      </c>
      <c r="K13" s="50">
        <f t="shared" si="0"/>
        <v>846330.09361293225</v>
      </c>
    </row>
    <row r="14" spans="1:11" x14ac:dyDescent="0.3">
      <c r="A14" s="38" t="s">
        <v>64</v>
      </c>
      <c r="B14" s="42">
        <v>2</v>
      </c>
      <c r="C14" s="42"/>
      <c r="F14" s="42" t="s">
        <v>37</v>
      </c>
      <c r="G14" s="40">
        <f>G13/SQRT(COUNT(G5:G11))</f>
        <v>0.10906582422374775</v>
      </c>
      <c r="H14" s="43">
        <f>H13/SQRT(COUNT(H5:H11))</f>
        <v>23038.998479212809</v>
      </c>
      <c r="I14" s="51">
        <v>43.894516937029664</v>
      </c>
      <c r="J14" s="50">
        <v>13321</v>
      </c>
      <c r="K14" s="50">
        <f t="shared" si="0"/>
        <v>584718.86011817213</v>
      </c>
    </row>
    <row r="15" spans="1:11" x14ac:dyDescent="0.3">
      <c r="A15" s="38" t="s">
        <v>15</v>
      </c>
      <c r="B15" s="9" t="s">
        <v>72</v>
      </c>
      <c r="C15" s="42"/>
      <c r="F15" s="42" t="s">
        <v>38</v>
      </c>
      <c r="G15" s="40">
        <f>G12-1.96*G14</f>
        <v>0.26351669880716877</v>
      </c>
      <c r="H15" s="43">
        <f>H12-1.96*H14</f>
        <v>93941.420123600023</v>
      </c>
      <c r="I15" s="51">
        <v>44.338847251506358</v>
      </c>
      <c r="J15" s="50">
        <v>22452</v>
      </c>
      <c r="K15" s="50">
        <f t="shared" si="0"/>
        <v>995495.7984908208</v>
      </c>
    </row>
    <row r="16" spans="1:11" x14ac:dyDescent="0.3">
      <c r="A16" s="38" t="s">
        <v>65</v>
      </c>
      <c r="B16" s="7">
        <f>B7/B3</f>
        <v>1.5909523809523811</v>
      </c>
      <c r="C16" s="42"/>
      <c r="F16" s="42" t="s">
        <v>39</v>
      </c>
      <c r="G16" s="40">
        <f>G12+1.96*G14</f>
        <v>0.69105472976425986</v>
      </c>
      <c r="H16" s="43">
        <f>H12+1.96*H14</f>
        <v>184254.29416211424</v>
      </c>
      <c r="I16" s="51">
        <v>44.774617502558407</v>
      </c>
      <c r="J16" s="50">
        <v>19850</v>
      </c>
      <c r="K16" s="50">
        <f t="shared" si="0"/>
        <v>888776.15742578439</v>
      </c>
    </row>
    <row r="17" spans="1:11" x14ac:dyDescent="0.3">
      <c r="A17" s="38" t="s">
        <v>16</v>
      </c>
      <c r="B17" s="7">
        <f>B7/B6</f>
        <v>2.3864285714285716</v>
      </c>
      <c r="C17" s="42"/>
      <c r="I17" s="51">
        <v>46.274766037195448</v>
      </c>
      <c r="J17" s="50">
        <v>21570</v>
      </c>
      <c r="K17" s="50">
        <f t="shared" si="0"/>
        <v>998146.70342230587</v>
      </c>
    </row>
    <row r="18" spans="1:11" x14ac:dyDescent="0.3">
      <c r="A18" s="38" t="s">
        <v>17</v>
      </c>
      <c r="B18" s="42"/>
      <c r="C18" s="42"/>
      <c r="I18" s="51">
        <v>46.909912025901065</v>
      </c>
      <c r="J18" s="50">
        <v>27116</v>
      </c>
      <c r="K18" s="50">
        <f t="shared" si="0"/>
        <v>1272009.1744943333</v>
      </c>
    </row>
    <row r="19" spans="1:11" x14ac:dyDescent="0.3">
      <c r="A19" s="38" t="s">
        <v>18</v>
      </c>
      <c r="B19" s="42">
        <v>0.01</v>
      </c>
      <c r="C19" s="42"/>
      <c r="I19" s="51">
        <v>46.927812611436799</v>
      </c>
      <c r="J19" s="50">
        <v>16355</v>
      </c>
      <c r="K19" s="50">
        <f t="shared" si="0"/>
        <v>767504.3752600489</v>
      </c>
    </row>
    <row r="20" spans="1:11" x14ac:dyDescent="0.3">
      <c r="A20" s="38" t="s">
        <v>19</v>
      </c>
      <c r="B20" s="42">
        <v>2.96</v>
      </c>
      <c r="C20" s="42"/>
      <c r="I20" s="51">
        <v>47.17702791831595</v>
      </c>
      <c r="J20" s="50">
        <v>17488</v>
      </c>
      <c r="K20" s="50">
        <f t="shared" si="0"/>
        <v>825031.8642355093</v>
      </c>
    </row>
    <row r="21" spans="1:11" x14ac:dyDescent="0.3">
      <c r="A21" s="38" t="s">
        <v>20</v>
      </c>
      <c r="B21" s="42">
        <v>120</v>
      </c>
      <c r="C21" s="42"/>
      <c r="I21" s="51">
        <v>47.247760318776749</v>
      </c>
      <c r="J21" s="50">
        <v>20074</v>
      </c>
      <c r="K21" s="50">
        <f t="shared" si="0"/>
        <v>948451.54063912446</v>
      </c>
    </row>
    <row r="22" spans="1:11" x14ac:dyDescent="0.3">
      <c r="A22" s="38" t="s">
        <v>21</v>
      </c>
      <c r="B22" s="42">
        <v>0.13</v>
      </c>
      <c r="C22" s="42"/>
      <c r="I22" s="51">
        <v>48.063759978630848</v>
      </c>
      <c r="J22" s="50">
        <v>2163</v>
      </c>
      <c r="K22" s="50">
        <f t="shared" si="0"/>
        <v>103961.91283377852</v>
      </c>
    </row>
    <row r="23" spans="1:11" x14ac:dyDescent="0.3">
      <c r="A23" s="38" t="s">
        <v>22</v>
      </c>
      <c r="B23" s="42">
        <v>-0.33</v>
      </c>
      <c r="C23" s="42"/>
      <c r="I23" s="51">
        <v>48.952503030780747</v>
      </c>
      <c r="J23" s="50">
        <v>9945</v>
      </c>
      <c r="K23" s="50">
        <f t="shared" si="0"/>
        <v>486832.64264111454</v>
      </c>
    </row>
    <row r="24" spans="1:11" x14ac:dyDescent="0.3">
      <c r="A24" s="38"/>
      <c r="B24" s="42"/>
      <c r="C24" s="42"/>
      <c r="I24" s="51">
        <v>49.247258525174786</v>
      </c>
      <c r="J24" s="50">
        <v>11058</v>
      </c>
      <c r="K24" s="50">
        <f t="shared" si="0"/>
        <v>544576.18477138283</v>
      </c>
    </row>
    <row r="25" spans="1:11" x14ac:dyDescent="0.3">
      <c r="A25" s="38" t="s">
        <v>23</v>
      </c>
      <c r="B25" s="42"/>
      <c r="C25" s="42"/>
      <c r="I25" s="51">
        <v>50.142853029818255</v>
      </c>
      <c r="J25" s="50">
        <v>8919</v>
      </c>
      <c r="K25" s="50">
        <f t="shared" si="0"/>
        <v>447224.10617294902</v>
      </c>
    </row>
    <row r="26" spans="1:11" x14ac:dyDescent="0.3">
      <c r="A26" s="38" t="s">
        <v>60</v>
      </c>
      <c r="B26" s="48">
        <f>B21*(1-EXP(-B22*(B5-B23)))</f>
        <v>42.164957868351948</v>
      </c>
      <c r="C26" s="42"/>
      <c r="I26" s="51">
        <v>52.514170562365749</v>
      </c>
      <c r="J26" s="50">
        <v>7874</v>
      </c>
      <c r="K26" s="50">
        <f t="shared" si="0"/>
        <v>413496.5790080679</v>
      </c>
    </row>
    <row r="27" spans="1:11" x14ac:dyDescent="0.3">
      <c r="A27" s="38" t="s">
        <v>25</v>
      </c>
      <c r="B27" s="48">
        <f>B21*3/(3+B6/B22)</f>
        <v>79.322033898305094</v>
      </c>
      <c r="C27" s="7">
        <f>2/3*B21</f>
        <v>80</v>
      </c>
      <c r="I27" s="51">
        <v>52.828110971596111</v>
      </c>
      <c r="J27" s="50">
        <v>3875</v>
      </c>
      <c r="K27" s="50">
        <f t="shared" si="0"/>
        <v>204708.93001493494</v>
      </c>
    </row>
    <row r="28" spans="1:11" x14ac:dyDescent="0.3">
      <c r="A28" s="38" t="s">
        <v>26</v>
      </c>
      <c r="B28" s="48">
        <f>(B13/B19)^(1/B20)</f>
        <v>36.052424065789516</v>
      </c>
      <c r="C28" s="42"/>
      <c r="I28" s="51">
        <v>53.361916562338536</v>
      </c>
      <c r="J28" s="50">
        <v>6825</v>
      </c>
      <c r="K28" s="50">
        <f t="shared" si="0"/>
        <v>364195.08053796052</v>
      </c>
    </row>
    <row r="29" spans="1:11" x14ac:dyDescent="0.3">
      <c r="A29" s="38" t="s">
        <v>27</v>
      </c>
      <c r="B29" s="48">
        <f>K48</f>
        <v>46.02901366300901</v>
      </c>
      <c r="C29" s="42"/>
      <c r="I29" s="51">
        <v>53.817138426984535</v>
      </c>
      <c r="J29" s="50">
        <v>6936</v>
      </c>
      <c r="K29" s="50">
        <f t="shared" si="0"/>
        <v>373275.67212956474</v>
      </c>
    </row>
    <row r="30" spans="1:11" x14ac:dyDescent="0.3">
      <c r="A30" s="38" t="s">
        <v>28</v>
      </c>
      <c r="B30" s="7">
        <f>(B21*B22+2*B28*B6)/(B22+2*B6)</f>
        <v>56.643338917576997</v>
      </c>
      <c r="C30" s="7">
        <f>(3*B28+B21)/4</f>
        <v>57.039318049342135</v>
      </c>
      <c r="I30" s="51">
        <v>55.630828839359388</v>
      </c>
      <c r="J30" s="50">
        <v>3234</v>
      </c>
      <c r="K30" s="50">
        <f t="shared" si="0"/>
        <v>179910.10046648825</v>
      </c>
    </row>
    <row r="31" spans="1:11" x14ac:dyDescent="0.3">
      <c r="A31" s="38"/>
      <c r="B31" s="42"/>
      <c r="C31" s="42"/>
      <c r="I31" s="51">
        <v>57.564178888808897</v>
      </c>
      <c r="J31" s="50">
        <v>1894</v>
      </c>
      <c r="K31" s="50">
        <f t="shared" si="0"/>
        <v>109026.55481540404</v>
      </c>
    </row>
    <row r="32" spans="1:11" x14ac:dyDescent="0.3">
      <c r="A32" s="38"/>
      <c r="B32" s="42"/>
      <c r="C32" s="42"/>
      <c r="I32" s="51">
        <v>59.736911045468077</v>
      </c>
      <c r="J32" s="50">
        <v>1497</v>
      </c>
      <c r="K32" s="50">
        <f t="shared" si="0"/>
        <v>89426.155835065714</v>
      </c>
    </row>
    <row r="33" spans="1:11" x14ac:dyDescent="0.3">
      <c r="A33" s="38" t="s">
        <v>29</v>
      </c>
      <c r="B33" s="42"/>
      <c r="C33" s="42"/>
      <c r="I33" s="51">
        <v>60.702723745659938</v>
      </c>
      <c r="J33" s="50">
        <v>1807</v>
      </c>
      <c r="K33" s="50">
        <f t="shared" si="0"/>
        <v>109689.82180840751</v>
      </c>
    </row>
    <row r="34" spans="1:11" x14ac:dyDescent="0.3">
      <c r="A34" s="38" t="s">
        <v>30</v>
      </c>
      <c r="B34" s="42"/>
      <c r="C34" s="42"/>
      <c r="I34" s="51">
        <v>62.842942383405486</v>
      </c>
      <c r="J34" s="50">
        <v>1481</v>
      </c>
      <c r="K34" s="50">
        <f t="shared" si="0"/>
        <v>93070.39766982352</v>
      </c>
    </row>
    <row r="35" spans="1:11" x14ac:dyDescent="0.3">
      <c r="A35" s="38" t="s">
        <v>63</v>
      </c>
      <c r="B35" s="40">
        <f>B22*(B29-B21)/(B28-B29)-B6</f>
        <v>0.76387930265156956</v>
      </c>
      <c r="C35" s="42"/>
      <c r="I35" s="51">
        <v>63.571599526302904</v>
      </c>
      <c r="J35" s="50">
        <v>817</v>
      </c>
      <c r="K35" s="50">
        <f t="shared" si="0"/>
        <v>51937.99681298947</v>
      </c>
    </row>
    <row r="36" spans="1:11" x14ac:dyDescent="0.3">
      <c r="A36" s="38" t="s">
        <v>16</v>
      </c>
      <c r="B36" s="40">
        <f>B22/B6*(B29-B21)/(B28-B29)-1</f>
        <v>3.819396513257848</v>
      </c>
      <c r="C36" s="42"/>
      <c r="I36" s="51">
        <v>63.983514062153979</v>
      </c>
      <c r="J36" s="50">
        <v>1049</v>
      </c>
      <c r="K36" s="50">
        <f t="shared" si="0"/>
        <v>67118.706251199517</v>
      </c>
    </row>
    <row r="37" spans="1:11" x14ac:dyDescent="0.3">
      <c r="A37" s="38" t="s">
        <v>32</v>
      </c>
      <c r="B37" s="40">
        <f>2*(B29-B21)/(3*(B28-B29))-1</f>
        <v>3.9429707828285618</v>
      </c>
      <c r="C37" s="42"/>
      <c r="I37" s="51">
        <v>67.203885246411289</v>
      </c>
      <c r="J37" s="50">
        <v>409</v>
      </c>
      <c r="K37" s="50">
        <f t="shared" si="0"/>
        <v>27486.389065782216</v>
      </c>
    </row>
    <row r="38" spans="1:11" x14ac:dyDescent="0.3">
      <c r="A38" s="38" t="s">
        <v>33</v>
      </c>
      <c r="B38" s="7">
        <f>(3*B28+B21)/4</f>
        <v>57.039318049342135</v>
      </c>
      <c r="C38" s="42"/>
      <c r="I38" s="51">
        <v>67.371652373567741</v>
      </c>
      <c r="J38" s="50">
        <v>455</v>
      </c>
      <c r="K38" s="50">
        <f t="shared" si="0"/>
        <v>30654.101829973322</v>
      </c>
    </row>
    <row r="39" spans="1:11" x14ac:dyDescent="0.3">
      <c r="A39" s="64" t="s">
        <v>107</v>
      </c>
      <c r="I39" s="51">
        <v>71.449917187473147</v>
      </c>
      <c r="J39" s="50">
        <v>383</v>
      </c>
      <c r="K39" s="50">
        <f t="shared" si="0"/>
        <v>27365.318282802215</v>
      </c>
    </row>
    <row r="40" spans="1:11" x14ac:dyDescent="0.3">
      <c r="I40" s="51">
        <v>72.218919639834183</v>
      </c>
      <c r="J40" s="50">
        <v>380</v>
      </c>
      <c r="K40" s="50">
        <f t="shared" si="0"/>
        <v>27443.189463136991</v>
      </c>
    </row>
    <row r="41" spans="1:11" x14ac:dyDescent="0.3">
      <c r="I41" s="51">
        <v>76.692485648777762</v>
      </c>
      <c r="J41" s="50">
        <v>304</v>
      </c>
      <c r="K41" s="50">
        <f t="shared" si="0"/>
        <v>23314.51563722844</v>
      </c>
    </row>
    <row r="42" spans="1:11" x14ac:dyDescent="0.3">
      <c r="I42" s="51">
        <v>79.123787460274741</v>
      </c>
      <c r="J42" s="50">
        <v>180</v>
      </c>
      <c r="K42" s="50">
        <f t="shared" si="0"/>
        <v>14242.281742849453</v>
      </c>
    </row>
    <row r="43" spans="1:11" x14ac:dyDescent="0.3">
      <c r="I43" s="51">
        <v>81.689446443738703</v>
      </c>
      <c r="J43" s="50">
        <v>181</v>
      </c>
      <c r="K43" s="50">
        <f t="shared" si="0"/>
        <v>14785.789806316705</v>
      </c>
    </row>
    <row r="44" spans="1:11" x14ac:dyDescent="0.3">
      <c r="I44" s="51">
        <v>82.585419378133423</v>
      </c>
      <c r="J44" s="50">
        <v>0</v>
      </c>
      <c r="K44" s="50">
        <f t="shared" si="0"/>
        <v>0</v>
      </c>
    </row>
    <row r="45" spans="1:11" x14ac:dyDescent="0.3">
      <c r="I45" s="51">
        <v>84.458290622188557</v>
      </c>
      <c r="J45" s="50">
        <v>152</v>
      </c>
      <c r="K45" s="50">
        <f t="shared" si="0"/>
        <v>12837.66017457266</v>
      </c>
    </row>
    <row r="46" spans="1:11" x14ac:dyDescent="0.3">
      <c r="I46" s="51">
        <v>89.471835360045716</v>
      </c>
      <c r="J46" s="50">
        <v>207</v>
      </c>
      <c r="K46" s="50">
        <f t="shared" si="0"/>
        <v>18520.669919529464</v>
      </c>
    </row>
    <row r="47" spans="1:11" x14ac:dyDescent="0.3">
      <c r="H47" t="s">
        <v>42</v>
      </c>
      <c r="I47" s="51"/>
      <c r="J47">
        <f>SUM(J5:J46)</f>
        <v>364032</v>
      </c>
      <c r="K47" s="50">
        <f>SUM(K5:K46)</f>
        <v>16756033.901772497</v>
      </c>
    </row>
    <row r="48" spans="1:11" x14ac:dyDescent="0.3">
      <c r="H48" t="s">
        <v>27</v>
      </c>
      <c r="K48">
        <f>K47/J47</f>
        <v>46.02901366300901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C29" sqref="C29"/>
    </sheetView>
  </sheetViews>
  <sheetFormatPr defaultColWidth="9.109375" defaultRowHeight="14.4" x14ac:dyDescent="0.3"/>
  <cols>
    <col min="1" max="1" width="38.33203125" style="5" customWidth="1"/>
    <col min="2" max="2" width="11.109375" style="5" customWidth="1"/>
    <col min="3" max="5" width="9.109375" style="5"/>
    <col min="6" max="6" width="6.5546875" style="5" bestFit="1" customWidth="1"/>
    <col min="7" max="7" width="12.44140625" style="5" customWidth="1"/>
    <col min="8" max="8" width="8.33203125" style="5" bestFit="1" customWidth="1"/>
    <col min="9" max="9" width="9.109375" style="5"/>
    <col min="10" max="10" width="9.109375" style="5" bestFit="1" customWidth="1"/>
    <col min="11" max="11" width="10" style="5" bestFit="1" customWidth="1"/>
    <col min="12" max="16384" width="9.109375" style="5"/>
  </cols>
  <sheetData>
    <row r="1" spans="1:14" x14ac:dyDescent="0.3">
      <c r="A1" s="1" t="s">
        <v>44</v>
      </c>
      <c r="D1" s="23" t="s">
        <v>48</v>
      </c>
    </row>
    <row r="2" spans="1:14" ht="15" x14ac:dyDescent="0.25">
      <c r="A2" s="1" t="s">
        <v>3</v>
      </c>
    </row>
    <row r="3" spans="1:14" ht="15" x14ac:dyDescent="0.25">
      <c r="A3" s="1" t="s">
        <v>4</v>
      </c>
      <c r="B3" s="5">
        <v>0.4</v>
      </c>
    </row>
    <row r="4" spans="1:14" x14ac:dyDescent="0.3">
      <c r="A4" s="1" t="s">
        <v>5</v>
      </c>
      <c r="B4" s="3">
        <v>460000</v>
      </c>
      <c r="F4" s="1" t="s">
        <v>2</v>
      </c>
      <c r="G4" s="1" t="s">
        <v>0</v>
      </c>
      <c r="I4" s="1" t="s">
        <v>40</v>
      </c>
      <c r="J4" s="1" t="s">
        <v>1</v>
      </c>
      <c r="K4" s="1" t="s">
        <v>41</v>
      </c>
      <c r="L4" s="64" t="s">
        <v>120</v>
      </c>
      <c r="M4" s="64" t="s">
        <v>119</v>
      </c>
    </row>
    <row r="5" spans="1:14" x14ac:dyDescent="0.3">
      <c r="A5" s="45" t="s">
        <v>6</v>
      </c>
      <c r="B5" s="46">
        <v>7</v>
      </c>
      <c r="E5" s="5">
        <v>2005</v>
      </c>
      <c r="F5" s="8">
        <v>0.69969999999999999</v>
      </c>
      <c r="G5" s="47">
        <v>616417</v>
      </c>
      <c r="H5" s="2">
        <v>2005</v>
      </c>
      <c r="I5" s="2">
        <v>0.69</v>
      </c>
      <c r="J5" s="2">
        <v>5815</v>
      </c>
      <c r="K5" s="5">
        <f t="shared" ref="K5:K36" si="0">J5*I5</f>
        <v>4012.35</v>
      </c>
      <c r="L5" s="5">
        <v>0.5</v>
      </c>
      <c r="M5" s="5">
        <f>0.75</f>
        <v>0.75</v>
      </c>
      <c r="N5" s="5">
        <f>SUM(J5:J11)</f>
        <v>56357</v>
      </c>
    </row>
    <row r="6" spans="1:14" x14ac:dyDescent="0.3">
      <c r="A6" s="45" t="s">
        <v>7</v>
      </c>
      <c r="B6" s="46">
        <v>0.2</v>
      </c>
      <c r="C6" s="5">
        <f>1.5*B22</f>
        <v>0.19500000000000001</v>
      </c>
      <c r="E6" s="5">
        <f>E5+1</f>
        <v>2006</v>
      </c>
      <c r="F6" s="8">
        <v>0.58189999999999997</v>
      </c>
      <c r="G6" s="47">
        <v>613475</v>
      </c>
      <c r="H6" s="2">
        <v>2006</v>
      </c>
      <c r="I6" s="2">
        <v>0.72</v>
      </c>
      <c r="J6" s="2">
        <v>8548</v>
      </c>
      <c r="K6" s="5">
        <f t="shared" si="0"/>
        <v>6154.5599999999995</v>
      </c>
      <c r="L6" s="5">
        <f>L5+0.5</f>
        <v>1</v>
      </c>
      <c r="M6" s="5">
        <f>M5+0.5</f>
        <v>1.25</v>
      </c>
      <c r="N6" s="5">
        <f>SUM(J12:J18)</f>
        <v>225433</v>
      </c>
    </row>
    <row r="7" spans="1:14" x14ac:dyDescent="0.3">
      <c r="A7" s="1" t="s">
        <v>61</v>
      </c>
      <c r="B7" s="40">
        <f>F12</f>
        <v>0.38380000000000003</v>
      </c>
      <c r="E7" s="5">
        <f t="shared" ref="E7:E10" si="1">E6+1</f>
        <v>2007</v>
      </c>
      <c r="F7" s="8">
        <v>0.35780000000000001</v>
      </c>
      <c r="G7" s="47">
        <v>679629</v>
      </c>
      <c r="H7" s="2">
        <v>2007</v>
      </c>
      <c r="I7" s="2">
        <v>0.74</v>
      </c>
      <c r="J7" s="2">
        <v>25473</v>
      </c>
      <c r="K7" s="5">
        <f t="shared" si="0"/>
        <v>18850.02</v>
      </c>
      <c r="L7" s="68">
        <f t="shared" ref="L7:L32" si="2">L6+0.5</f>
        <v>1.5</v>
      </c>
      <c r="M7" s="68">
        <f t="shared" ref="M7:M32" si="3">M6+0.5</f>
        <v>1.75</v>
      </c>
      <c r="N7" s="5">
        <f>SUM(J19:J25)</f>
        <v>420627</v>
      </c>
    </row>
    <row r="8" spans="1:14" x14ac:dyDescent="0.3">
      <c r="A8" s="1" t="s">
        <v>9</v>
      </c>
      <c r="B8" s="40">
        <f>F15</f>
        <v>0.24755516485385595</v>
      </c>
      <c r="E8" s="5">
        <f t="shared" si="1"/>
        <v>2008</v>
      </c>
      <c r="F8" s="8">
        <v>0.31009999999999999</v>
      </c>
      <c r="G8" s="47">
        <v>742749</v>
      </c>
      <c r="H8" s="2">
        <v>2009</v>
      </c>
      <c r="I8" s="2">
        <v>0.75</v>
      </c>
      <c r="J8" s="5">
        <v>4866</v>
      </c>
      <c r="K8" s="5">
        <f t="shared" si="0"/>
        <v>3649.5</v>
      </c>
      <c r="L8" s="68">
        <f t="shared" si="2"/>
        <v>2</v>
      </c>
      <c r="M8" s="68">
        <f t="shared" si="3"/>
        <v>2.25</v>
      </c>
      <c r="N8" s="5">
        <f>SUM(J26:J30)</f>
        <v>333245</v>
      </c>
    </row>
    <row r="9" spans="1:14" x14ac:dyDescent="0.3">
      <c r="A9" s="1" t="s">
        <v>10</v>
      </c>
      <c r="B9" s="40">
        <f>F16</f>
        <v>0.52004483514614408</v>
      </c>
      <c r="E9" s="5">
        <f t="shared" si="1"/>
        <v>2009</v>
      </c>
      <c r="F9" s="8">
        <v>0.24299999999999999</v>
      </c>
      <c r="G9" s="47">
        <v>1154374</v>
      </c>
      <c r="H9" s="2">
        <v>2008</v>
      </c>
      <c r="I9" s="2">
        <v>0.77</v>
      </c>
      <c r="J9" s="5">
        <v>8459</v>
      </c>
      <c r="K9" s="5">
        <f t="shared" si="0"/>
        <v>6513.43</v>
      </c>
      <c r="L9" s="68">
        <f t="shared" si="2"/>
        <v>2.5</v>
      </c>
      <c r="M9" s="68">
        <f t="shared" si="3"/>
        <v>2.75</v>
      </c>
      <c r="N9" s="5">
        <f>SUM(J31:J32)</f>
        <v>61375</v>
      </c>
    </row>
    <row r="10" spans="1:14" x14ac:dyDescent="0.3">
      <c r="A10" s="1" t="s">
        <v>62</v>
      </c>
      <c r="B10" s="3">
        <f>G12</f>
        <v>1004058.8571428572</v>
      </c>
      <c r="E10" s="5">
        <f t="shared" si="1"/>
        <v>2010</v>
      </c>
      <c r="F10" s="8">
        <v>0.2301</v>
      </c>
      <c r="G10" s="47">
        <v>1364567</v>
      </c>
      <c r="H10" s="2">
        <v>2010</v>
      </c>
      <c r="I10" s="2">
        <v>0.78</v>
      </c>
      <c r="J10" s="5">
        <v>1778</v>
      </c>
      <c r="K10" s="5">
        <f t="shared" si="0"/>
        <v>1386.8400000000001</v>
      </c>
      <c r="L10" s="68">
        <f t="shared" si="2"/>
        <v>3</v>
      </c>
      <c r="M10" s="68">
        <f t="shared" si="3"/>
        <v>3.25</v>
      </c>
      <c r="N10" s="5">
        <f>SUM(J33:J36)</f>
        <v>187219</v>
      </c>
    </row>
    <row r="11" spans="1:14" x14ac:dyDescent="0.3">
      <c r="A11" s="1" t="s">
        <v>12</v>
      </c>
      <c r="B11" s="3">
        <f>G15</f>
        <v>651781.41670562071</v>
      </c>
      <c r="E11" s="5">
        <v>2011</v>
      </c>
      <c r="F11" s="35">
        <v>0.26400000000000001</v>
      </c>
      <c r="G11" s="47">
        <v>1857201</v>
      </c>
      <c r="H11" s="2">
        <v>2011</v>
      </c>
      <c r="I11" s="2">
        <v>0.78</v>
      </c>
      <c r="J11" s="5">
        <v>1418</v>
      </c>
      <c r="K11" s="5">
        <f t="shared" si="0"/>
        <v>1106.04</v>
      </c>
      <c r="L11" s="68">
        <f t="shared" si="2"/>
        <v>3.5</v>
      </c>
      <c r="M11" s="68">
        <f t="shared" si="3"/>
        <v>3.75</v>
      </c>
      <c r="N11" s="5">
        <f>SUM(J37:J39)</f>
        <v>69218</v>
      </c>
    </row>
    <row r="12" spans="1:14" ht="15" x14ac:dyDescent="0.25">
      <c r="A12" s="1" t="s">
        <v>13</v>
      </c>
      <c r="B12" s="3">
        <f>G16</f>
        <v>1356336.2975800936</v>
      </c>
      <c r="E12" s="5" t="s">
        <v>35</v>
      </c>
      <c r="F12" s="4">
        <f>AVERAGE(F5:F11)</f>
        <v>0.38380000000000003</v>
      </c>
      <c r="G12" s="3">
        <f>AVERAGE(G5:G11)</f>
        <v>1004058.8571428572</v>
      </c>
      <c r="H12" s="2">
        <v>2005</v>
      </c>
      <c r="I12" s="2">
        <v>1.08</v>
      </c>
      <c r="J12" s="5">
        <v>19768</v>
      </c>
      <c r="K12" s="5">
        <f t="shared" si="0"/>
        <v>21349.440000000002</v>
      </c>
      <c r="L12" s="68">
        <f t="shared" si="2"/>
        <v>4</v>
      </c>
      <c r="M12" s="68">
        <f t="shared" si="3"/>
        <v>4.25</v>
      </c>
      <c r="N12" s="5">
        <f>SUM(J40)</f>
        <v>20553</v>
      </c>
    </row>
    <row r="13" spans="1:14" ht="15" x14ac:dyDescent="0.25">
      <c r="A13" s="1" t="s">
        <v>14</v>
      </c>
      <c r="B13" s="6">
        <v>690</v>
      </c>
      <c r="E13" s="5" t="s">
        <v>36</v>
      </c>
      <c r="F13" s="4">
        <f>STDEV(F5:F11)</f>
        <v>0.18391324041514781</v>
      </c>
      <c r="G13" s="3">
        <f>STDEV(G5:G11)</f>
        <v>475529.84688535542</v>
      </c>
      <c r="H13" s="2">
        <v>2006</v>
      </c>
      <c r="I13" s="2">
        <v>1.1599999999999999</v>
      </c>
      <c r="J13" s="5">
        <v>47207</v>
      </c>
      <c r="K13" s="5">
        <f t="shared" si="0"/>
        <v>54760.119999999995</v>
      </c>
      <c r="L13" s="68">
        <f t="shared" si="2"/>
        <v>4.5</v>
      </c>
      <c r="M13" s="68">
        <f t="shared" si="3"/>
        <v>4.75</v>
      </c>
      <c r="N13" s="5">
        <f>SUM(J41:J42)</f>
        <v>36783</v>
      </c>
    </row>
    <row r="14" spans="1:14" x14ac:dyDescent="0.3">
      <c r="A14" s="38" t="s">
        <v>64</v>
      </c>
      <c r="B14" s="5">
        <v>3</v>
      </c>
      <c r="E14" s="5" t="s">
        <v>37</v>
      </c>
      <c r="F14" s="4">
        <f>F13/SQRT(COUNT(F5:F11))</f>
        <v>6.9512670992930653E-2</v>
      </c>
      <c r="G14" s="3">
        <f>G13/SQRT(COUNT(G5:G11))</f>
        <v>179733.38797818185</v>
      </c>
      <c r="H14" s="2">
        <v>2009</v>
      </c>
      <c r="I14" s="2">
        <v>1.17</v>
      </c>
      <c r="J14" s="5">
        <v>38711</v>
      </c>
      <c r="K14" s="5">
        <f t="shared" si="0"/>
        <v>45291.869999999995</v>
      </c>
      <c r="L14" s="68">
        <f t="shared" si="2"/>
        <v>5</v>
      </c>
      <c r="M14" s="68">
        <f t="shared" si="3"/>
        <v>5.25</v>
      </c>
      <c r="N14" s="5">
        <f>SUM(J43:J47)</f>
        <v>64640</v>
      </c>
    </row>
    <row r="15" spans="1:14" x14ac:dyDescent="0.3">
      <c r="A15" s="1" t="s">
        <v>15</v>
      </c>
      <c r="B15" s="9">
        <f>K84*1000</f>
        <v>2572.3855518715791</v>
      </c>
      <c r="C15" s="5">
        <v>2237</v>
      </c>
      <c r="E15" s="5" t="s">
        <v>38</v>
      </c>
      <c r="F15" s="4">
        <f>F12-1.96*F14</f>
        <v>0.24755516485385595</v>
      </c>
      <c r="G15" s="3">
        <f>G12-1.96*G14</f>
        <v>651781.41670562071</v>
      </c>
      <c r="H15" s="2">
        <v>2010</v>
      </c>
      <c r="I15" s="2">
        <v>1.2</v>
      </c>
      <c r="J15" s="5">
        <v>16193</v>
      </c>
      <c r="K15" s="5">
        <f t="shared" si="0"/>
        <v>19431.599999999999</v>
      </c>
      <c r="L15" s="68">
        <f t="shared" si="2"/>
        <v>5.5</v>
      </c>
      <c r="M15" s="68">
        <f t="shared" si="3"/>
        <v>5.75</v>
      </c>
      <c r="N15" s="5">
        <v>0</v>
      </c>
    </row>
    <row r="16" spans="1:14" x14ac:dyDescent="0.3">
      <c r="A16" s="38" t="s">
        <v>65</v>
      </c>
      <c r="B16" s="7">
        <f>B7/B3</f>
        <v>0.95950000000000002</v>
      </c>
      <c r="E16" s="5" t="s">
        <v>39</v>
      </c>
      <c r="F16" s="4">
        <f>F12+1.96*F14</f>
        <v>0.52004483514614408</v>
      </c>
      <c r="G16" s="3">
        <f>G12+1.96*G14</f>
        <v>1356336.2975800936</v>
      </c>
      <c r="H16" s="2">
        <v>2007</v>
      </c>
      <c r="I16" s="2">
        <v>1.21</v>
      </c>
      <c r="J16" s="5">
        <v>43817</v>
      </c>
      <c r="K16" s="5">
        <f t="shared" si="0"/>
        <v>53018.57</v>
      </c>
      <c r="L16" s="68">
        <f t="shared" si="2"/>
        <v>6</v>
      </c>
      <c r="M16" s="68">
        <f t="shared" si="3"/>
        <v>6.25</v>
      </c>
      <c r="N16" s="5">
        <f>SUM(J48:J52)</f>
        <v>37200</v>
      </c>
    </row>
    <row r="17" spans="1:14" x14ac:dyDescent="0.3">
      <c r="A17" s="1" t="s">
        <v>16</v>
      </c>
      <c r="B17" s="7">
        <f>B7/B6</f>
        <v>1.919</v>
      </c>
      <c r="H17" s="2">
        <v>2008</v>
      </c>
      <c r="I17" s="2">
        <v>1.27</v>
      </c>
      <c r="J17" s="5">
        <v>51704</v>
      </c>
      <c r="K17" s="5">
        <f t="shared" si="0"/>
        <v>65664.08</v>
      </c>
      <c r="L17" s="68">
        <f t="shared" si="2"/>
        <v>6.5</v>
      </c>
      <c r="M17" s="68">
        <f t="shared" si="3"/>
        <v>6.75</v>
      </c>
      <c r="N17" s="5">
        <f>SUM(J53:J54)</f>
        <v>5868</v>
      </c>
    </row>
    <row r="18" spans="1:14" x14ac:dyDescent="0.3">
      <c r="A18" s="1" t="s">
        <v>17</v>
      </c>
      <c r="H18" s="2">
        <v>2011</v>
      </c>
      <c r="I18" s="2">
        <v>1.31</v>
      </c>
      <c r="J18" s="5">
        <v>8033</v>
      </c>
      <c r="K18" s="5">
        <f t="shared" si="0"/>
        <v>10523.23</v>
      </c>
      <c r="L18" s="68">
        <f t="shared" si="2"/>
        <v>7</v>
      </c>
      <c r="M18" s="68">
        <f t="shared" si="3"/>
        <v>7.25</v>
      </c>
      <c r="N18" s="5">
        <f>SUM(J55:J56)</f>
        <v>9383</v>
      </c>
    </row>
    <row r="19" spans="1:14" x14ac:dyDescent="0.3">
      <c r="A19" s="1" t="s">
        <v>18</v>
      </c>
      <c r="B19" s="5">
        <v>9.5300000000000003E-3</v>
      </c>
      <c r="C19" s="5">
        <f>B19</f>
        <v>9.5300000000000003E-3</v>
      </c>
      <c r="H19" s="2">
        <v>2005</v>
      </c>
      <c r="I19" s="2">
        <v>1.57</v>
      </c>
      <c r="J19" s="5">
        <v>113144</v>
      </c>
      <c r="K19" s="5">
        <f t="shared" si="0"/>
        <v>177636.08000000002</v>
      </c>
      <c r="L19" s="68">
        <f t="shared" si="2"/>
        <v>7.5</v>
      </c>
      <c r="M19" s="68">
        <f t="shared" si="3"/>
        <v>7.75</v>
      </c>
      <c r="N19" s="5">
        <f>SUM(J57:J58)</f>
        <v>2531</v>
      </c>
    </row>
    <row r="20" spans="1:14" x14ac:dyDescent="0.3">
      <c r="A20" s="1" t="s">
        <v>19</v>
      </c>
      <c r="B20" s="5">
        <v>3.0310000000000001</v>
      </c>
      <c r="C20" s="5">
        <f>B20</f>
        <v>3.0310000000000001</v>
      </c>
      <c r="H20" s="2">
        <v>2006</v>
      </c>
      <c r="I20" s="2">
        <v>1.6</v>
      </c>
      <c r="J20" s="5">
        <v>33625</v>
      </c>
      <c r="K20" s="5">
        <f t="shared" si="0"/>
        <v>53800</v>
      </c>
      <c r="L20" s="68">
        <f t="shared" si="2"/>
        <v>8</v>
      </c>
      <c r="M20" s="68">
        <f t="shared" si="3"/>
        <v>8.25</v>
      </c>
      <c r="N20" s="5">
        <f>SUM(J59:J62)</f>
        <v>6401</v>
      </c>
    </row>
    <row r="21" spans="1:14" x14ac:dyDescent="0.3">
      <c r="A21" s="1" t="s">
        <v>20</v>
      </c>
      <c r="B21" s="5">
        <v>129</v>
      </c>
      <c r="H21" s="2">
        <v>2011</v>
      </c>
      <c r="I21" s="2">
        <v>1.72</v>
      </c>
      <c r="J21" s="5">
        <v>32472</v>
      </c>
      <c r="K21" s="5">
        <f t="shared" si="0"/>
        <v>55851.839999999997</v>
      </c>
      <c r="L21" s="68">
        <f t="shared" si="2"/>
        <v>8.5</v>
      </c>
      <c r="M21" s="68">
        <f t="shared" si="3"/>
        <v>8.75</v>
      </c>
      <c r="N21" s="5">
        <f>SUM(J63:J68)</f>
        <v>8845</v>
      </c>
    </row>
    <row r="22" spans="1:14" x14ac:dyDescent="0.3">
      <c r="A22" s="1" t="s">
        <v>21</v>
      </c>
      <c r="B22" s="5">
        <v>0.13</v>
      </c>
      <c r="H22" s="2">
        <v>2009</v>
      </c>
      <c r="I22" s="2">
        <v>1.74</v>
      </c>
      <c r="J22" s="5">
        <v>83998</v>
      </c>
      <c r="K22" s="5">
        <f t="shared" si="0"/>
        <v>146156.51999999999</v>
      </c>
      <c r="L22" s="68">
        <f t="shared" si="2"/>
        <v>9</v>
      </c>
      <c r="M22" s="68">
        <f t="shared" si="3"/>
        <v>9.25</v>
      </c>
      <c r="N22" s="5">
        <f>SUM(J69:J70)</f>
        <v>1475</v>
      </c>
    </row>
    <row r="23" spans="1:14" x14ac:dyDescent="0.3">
      <c r="A23" s="1" t="s">
        <v>22</v>
      </c>
      <c r="B23" s="5">
        <v>0</v>
      </c>
      <c r="H23" s="2">
        <v>2010</v>
      </c>
      <c r="I23" s="2">
        <v>1.74</v>
      </c>
      <c r="J23" s="5">
        <v>53855</v>
      </c>
      <c r="K23" s="5">
        <f t="shared" si="0"/>
        <v>93707.7</v>
      </c>
      <c r="L23" s="68">
        <f t="shared" si="2"/>
        <v>9.5</v>
      </c>
      <c r="M23" s="68">
        <f t="shared" si="3"/>
        <v>9.75</v>
      </c>
      <c r="N23" s="5">
        <f>J70</f>
        <v>562</v>
      </c>
    </row>
    <row r="24" spans="1:14" x14ac:dyDescent="0.3">
      <c r="A24" s="1"/>
      <c r="H24" s="2">
        <v>2007</v>
      </c>
      <c r="I24" s="2">
        <v>1.83</v>
      </c>
      <c r="J24" s="5">
        <v>62877</v>
      </c>
      <c r="K24" s="5">
        <f t="shared" si="0"/>
        <v>115064.91</v>
      </c>
      <c r="L24" s="68">
        <f t="shared" si="2"/>
        <v>10</v>
      </c>
      <c r="M24" s="68">
        <f t="shared" si="3"/>
        <v>10.25</v>
      </c>
      <c r="N24" s="5">
        <f>SUM(J71:J73)</f>
        <v>740</v>
      </c>
    </row>
    <row r="25" spans="1:14" x14ac:dyDescent="0.3">
      <c r="A25" s="1" t="s">
        <v>23</v>
      </c>
      <c r="H25" s="2">
        <v>2008</v>
      </c>
      <c r="I25" s="2">
        <v>1.87</v>
      </c>
      <c r="J25" s="5">
        <v>40656</v>
      </c>
      <c r="K25" s="5">
        <f t="shared" si="0"/>
        <v>76026.720000000001</v>
      </c>
      <c r="L25" s="68">
        <f t="shared" si="2"/>
        <v>10.5</v>
      </c>
      <c r="M25" s="68">
        <f t="shared" si="3"/>
        <v>10.75</v>
      </c>
      <c r="N25" s="5">
        <f>J74</f>
        <v>600</v>
      </c>
    </row>
    <row r="26" spans="1:14" x14ac:dyDescent="0.3">
      <c r="A26" s="1" t="s">
        <v>60</v>
      </c>
      <c r="B26" s="44">
        <f>B21*(1-EXP(-B22*(B5-B23)))</f>
        <v>77.074375099660955</v>
      </c>
      <c r="H26" s="2">
        <v>2005</v>
      </c>
      <c r="I26" s="2">
        <v>2.21</v>
      </c>
      <c r="J26" s="5">
        <v>61665</v>
      </c>
      <c r="K26" s="5">
        <f t="shared" si="0"/>
        <v>136279.65</v>
      </c>
      <c r="L26" s="68">
        <f t="shared" si="2"/>
        <v>11</v>
      </c>
      <c r="M26" s="68">
        <f t="shared" si="3"/>
        <v>11.25</v>
      </c>
      <c r="N26" s="5">
        <f>SUM(J75)</f>
        <v>273</v>
      </c>
    </row>
    <row r="27" spans="1:14" x14ac:dyDescent="0.3">
      <c r="A27" s="1" t="s">
        <v>25</v>
      </c>
      <c r="B27" s="44">
        <f>B21*3/(3+B6/B22)</f>
        <v>85.271186440677965</v>
      </c>
      <c r="C27" s="7">
        <f>2/3*B21</f>
        <v>86</v>
      </c>
      <c r="H27" s="2">
        <v>2011</v>
      </c>
      <c r="I27" s="2">
        <v>2.37</v>
      </c>
      <c r="J27" s="5">
        <v>70938</v>
      </c>
      <c r="K27" s="5">
        <f t="shared" si="0"/>
        <v>168123.06</v>
      </c>
      <c r="L27" s="68">
        <f t="shared" si="2"/>
        <v>11.5</v>
      </c>
      <c r="M27" s="68">
        <f t="shared" si="3"/>
        <v>11.75</v>
      </c>
      <c r="N27" s="5">
        <f>J76</f>
        <v>100</v>
      </c>
    </row>
    <row r="28" spans="1:14" x14ac:dyDescent="0.3">
      <c r="A28" s="1" t="s">
        <v>26</v>
      </c>
      <c r="B28" s="7">
        <f>(B13/B19)^(1/B20)</f>
        <v>40.119062145010517</v>
      </c>
      <c r="H28" s="2">
        <v>2006</v>
      </c>
      <c r="I28" s="2">
        <v>2.39</v>
      </c>
      <c r="J28" s="5">
        <v>78150</v>
      </c>
      <c r="K28" s="5">
        <f t="shared" si="0"/>
        <v>186778.5</v>
      </c>
      <c r="L28" s="68">
        <f t="shared" si="2"/>
        <v>12</v>
      </c>
      <c r="M28" s="68">
        <f t="shared" si="3"/>
        <v>12.25</v>
      </c>
      <c r="N28" s="5">
        <f>SUM(I77)</f>
        <v>12.02</v>
      </c>
    </row>
    <row r="29" spans="1:14" x14ac:dyDescent="0.3">
      <c r="A29" s="1" t="s">
        <v>27</v>
      </c>
      <c r="B29" s="44">
        <f>(B15/B19)^(1/B20)</f>
        <v>61.929575991460766</v>
      </c>
      <c r="C29" s="54">
        <f>(C15/C19)^(1/C20)</f>
        <v>59.140036030065879</v>
      </c>
      <c r="H29" s="2">
        <v>2009</v>
      </c>
      <c r="I29" s="2">
        <v>2.42</v>
      </c>
      <c r="J29" s="5">
        <v>46639</v>
      </c>
      <c r="K29" s="5">
        <f t="shared" si="0"/>
        <v>112866.37999999999</v>
      </c>
      <c r="L29" s="68">
        <f t="shared" si="2"/>
        <v>12.5</v>
      </c>
      <c r="M29" s="68">
        <f t="shared" si="3"/>
        <v>12.75</v>
      </c>
      <c r="N29" s="5">
        <v>0</v>
      </c>
    </row>
    <row r="30" spans="1:14" x14ac:dyDescent="0.3">
      <c r="A30" s="1" t="s">
        <v>28</v>
      </c>
      <c r="B30" s="7">
        <f>(B21*B22+2*B28*B6)/(B22+2*B6)</f>
        <v>61.920046901894729</v>
      </c>
      <c r="C30" s="7">
        <f>(3*B28+B21)/4</f>
        <v>62.339296608757891</v>
      </c>
      <c r="H30" s="2">
        <v>2010</v>
      </c>
      <c r="I30" s="2">
        <v>2.44</v>
      </c>
      <c r="J30" s="5">
        <v>75853</v>
      </c>
      <c r="K30" s="5">
        <f t="shared" si="0"/>
        <v>185081.32</v>
      </c>
      <c r="L30" s="68">
        <f t="shared" si="2"/>
        <v>13</v>
      </c>
      <c r="M30" s="68">
        <f t="shared" si="3"/>
        <v>13.25</v>
      </c>
      <c r="N30" s="5">
        <f>SUM(J78:J79)</f>
        <v>538</v>
      </c>
    </row>
    <row r="31" spans="1:14" x14ac:dyDescent="0.3">
      <c r="A31" s="1"/>
      <c r="H31" s="2">
        <v>2007</v>
      </c>
      <c r="I31" s="2">
        <v>2.5099999999999998</v>
      </c>
      <c r="J31" s="5">
        <v>26303</v>
      </c>
      <c r="K31" s="5">
        <f t="shared" si="0"/>
        <v>66020.53</v>
      </c>
      <c r="L31" s="68">
        <f t="shared" si="2"/>
        <v>13.5</v>
      </c>
      <c r="M31" s="68">
        <f t="shared" si="3"/>
        <v>13.75</v>
      </c>
      <c r="N31" s="5">
        <f>SUM(J80)</f>
        <v>81</v>
      </c>
    </row>
    <row r="32" spans="1:14" x14ac:dyDescent="0.3">
      <c r="A32" s="1"/>
      <c r="H32" s="2">
        <v>2008</v>
      </c>
      <c r="I32" s="2">
        <v>2.82</v>
      </c>
      <c r="J32" s="5">
        <v>35072</v>
      </c>
      <c r="K32" s="5">
        <f t="shared" si="0"/>
        <v>98903.039999999994</v>
      </c>
      <c r="L32" s="68">
        <f t="shared" si="2"/>
        <v>14</v>
      </c>
      <c r="M32" s="68">
        <f t="shared" si="3"/>
        <v>14.25</v>
      </c>
      <c r="N32" s="5">
        <f>J81</f>
        <v>52</v>
      </c>
    </row>
    <row r="33" spans="1:13" x14ac:dyDescent="0.3">
      <c r="A33" s="1" t="s">
        <v>29</v>
      </c>
      <c r="H33" s="2">
        <v>2011</v>
      </c>
      <c r="I33" s="2">
        <v>3.2</v>
      </c>
      <c r="J33" s="5">
        <v>73875</v>
      </c>
      <c r="K33" s="5">
        <f t="shared" si="0"/>
        <v>236400</v>
      </c>
      <c r="M33" s="68"/>
    </row>
    <row r="34" spans="1:13" x14ac:dyDescent="0.3">
      <c r="A34" s="1" t="s">
        <v>30</v>
      </c>
      <c r="H34" s="2">
        <v>2005</v>
      </c>
      <c r="I34" s="2">
        <v>3.26</v>
      </c>
      <c r="J34" s="5">
        <v>44777</v>
      </c>
      <c r="K34" s="5">
        <f t="shared" si="0"/>
        <v>145973.01999999999</v>
      </c>
      <c r="M34" s="68"/>
    </row>
    <row r="35" spans="1:13" x14ac:dyDescent="0.3">
      <c r="A35" s="1" t="s">
        <v>63</v>
      </c>
      <c r="B35" s="4">
        <f>B22*(B29-B21)/(B28-B29)-B6</f>
        <v>0.19976844115156778</v>
      </c>
      <c r="H35" s="2">
        <v>2006</v>
      </c>
      <c r="I35" s="2">
        <v>3.32</v>
      </c>
      <c r="J35" s="5">
        <v>31770</v>
      </c>
      <c r="K35" s="5">
        <f t="shared" si="0"/>
        <v>105476.4</v>
      </c>
      <c r="M35" s="68"/>
    </row>
    <row r="36" spans="1:13" x14ac:dyDescent="0.3">
      <c r="A36" s="1" t="s">
        <v>16</v>
      </c>
      <c r="B36" s="4">
        <f>B22/B6*(B29-B21)/(B28-B29)-1</f>
        <v>0.99884220575783922</v>
      </c>
      <c r="H36" s="2">
        <v>2010</v>
      </c>
      <c r="I36" s="2">
        <v>3.4</v>
      </c>
      <c r="J36" s="5">
        <v>36797</v>
      </c>
      <c r="K36" s="5">
        <f t="shared" si="0"/>
        <v>125109.8</v>
      </c>
    </row>
    <row r="37" spans="1:13" x14ac:dyDescent="0.3">
      <c r="A37" s="1" t="s">
        <v>32</v>
      </c>
      <c r="B37" s="4">
        <f>2*(B29-B21)/(3*(B28-B29))-1</f>
        <v>1.05009457000804</v>
      </c>
      <c r="H37" s="2">
        <v>2008</v>
      </c>
      <c r="I37" s="2">
        <v>3.79</v>
      </c>
      <c r="J37" s="5">
        <v>14037</v>
      </c>
      <c r="K37" s="5">
        <f t="shared" ref="K37:K68" si="4">J37*I37</f>
        <v>53200.23</v>
      </c>
    </row>
    <row r="38" spans="1:13" x14ac:dyDescent="0.3">
      <c r="A38" s="1" t="s">
        <v>33</v>
      </c>
      <c r="B38" s="7">
        <f>(3*B28+B21)/4</f>
        <v>62.339296608757891</v>
      </c>
      <c r="H38" s="2">
        <v>2007</v>
      </c>
      <c r="I38" s="2">
        <v>3.82</v>
      </c>
      <c r="J38" s="5">
        <v>34392</v>
      </c>
      <c r="K38" s="5">
        <f t="shared" si="4"/>
        <v>131377.44</v>
      </c>
    </row>
    <row r="39" spans="1:13" x14ac:dyDescent="0.3">
      <c r="H39" s="2">
        <v>2009</v>
      </c>
      <c r="I39" s="2">
        <v>3.86</v>
      </c>
      <c r="J39" s="5">
        <v>20789</v>
      </c>
      <c r="K39" s="5">
        <f t="shared" si="4"/>
        <v>80245.539999999994</v>
      </c>
    </row>
    <row r="40" spans="1:13" x14ac:dyDescent="0.3">
      <c r="H40" s="2">
        <v>2005</v>
      </c>
      <c r="I40" s="2">
        <v>4.4400000000000004</v>
      </c>
      <c r="J40" s="5">
        <v>20553</v>
      </c>
      <c r="K40" s="5">
        <f t="shared" si="4"/>
        <v>91255.32</v>
      </c>
    </row>
    <row r="41" spans="1:13" x14ac:dyDescent="0.3">
      <c r="H41" s="2">
        <v>2006</v>
      </c>
      <c r="I41" s="2">
        <v>4.54</v>
      </c>
      <c r="J41" s="5">
        <v>15667</v>
      </c>
      <c r="K41" s="5">
        <f t="shared" si="4"/>
        <v>71128.180000000008</v>
      </c>
    </row>
    <row r="42" spans="1:13" x14ac:dyDescent="0.3">
      <c r="H42" s="2">
        <v>2011</v>
      </c>
      <c r="I42" s="2">
        <v>4.62</v>
      </c>
      <c r="J42" s="5">
        <v>21116</v>
      </c>
      <c r="K42" s="5">
        <f t="shared" si="4"/>
        <v>97555.92</v>
      </c>
    </row>
    <row r="43" spans="1:13" x14ac:dyDescent="0.3">
      <c r="H43" s="2">
        <v>2007</v>
      </c>
      <c r="I43" s="2">
        <v>5.04</v>
      </c>
      <c r="J43" s="5">
        <v>11240</v>
      </c>
      <c r="K43" s="5">
        <f t="shared" si="4"/>
        <v>56649.599999999999</v>
      </c>
    </row>
    <row r="44" spans="1:13" x14ac:dyDescent="0.3">
      <c r="H44" s="2">
        <v>2010</v>
      </c>
      <c r="I44" s="2">
        <v>5.04</v>
      </c>
      <c r="J44" s="5">
        <v>17062</v>
      </c>
      <c r="K44" s="5">
        <f t="shared" si="4"/>
        <v>85992.48</v>
      </c>
    </row>
    <row r="45" spans="1:13" x14ac:dyDescent="0.3">
      <c r="H45" s="2">
        <v>2008</v>
      </c>
      <c r="I45" s="2">
        <v>5.12</v>
      </c>
      <c r="J45" s="5">
        <v>20676</v>
      </c>
      <c r="K45" s="5">
        <f t="shared" si="4"/>
        <v>105861.12</v>
      </c>
    </row>
    <row r="46" spans="1:13" x14ac:dyDescent="0.3">
      <c r="H46" s="2">
        <v>2009</v>
      </c>
      <c r="I46" s="2">
        <v>5.35</v>
      </c>
      <c r="J46" s="5">
        <v>8417</v>
      </c>
      <c r="K46" s="5">
        <f t="shared" si="4"/>
        <v>45030.95</v>
      </c>
    </row>
    <row r="47" spans="1:13" x14ac:dyDescent="0.3">
      <c r="H47" s="2">
        <v>2006</v>
      </c>
      <c r="I47" s="2">
        <v>5.47</v>
      </c>
      <c r="J47" s="5">
        <v>7245</v>
      </c>
      <c r="K47" s="5">
        <f t="shared" si="4"/>
        <v>39630.15</v>
      </c>
    </row>
    <row r="48" spans="1:13" x14ac:dyDescent="0.3">
      <c r="H48" s="2">
        <v>2011</v>
      </c>
      <c r="I48" s="2">
        <v>6.18</v>
      </c>
      <c r="J48" s="5">
        <v>11708</v>
      </c>
      <c r="K48" s="5">
        <f t="shared" si="4"/>
        <v>72355.44</v>
      </c>
    </row>
    <row r="49" spans="8:11" x14ac:dyDescent="0.3">
      <c r="H49" s="2">
        <v>2008</v>
      </c>
      <c r="I49" s="2">
        <v>6.22</v>
      </c>
      <c r="J49" s="5">
        <v>5503</v>
      </c>
      <c r="K49" s="5">
        <f t="shared" si="4"/>
        <v>34228.659999999996</v>
      </c>
    </row>
    <row r="50" spans="8:11" x14ac:dyDescent="0.3">
      <c r="H50" s="2">
        <v>2005</v>
      </c>
      <c r="I50" s="2">
        <v>6.23</v>
      </c>
      <c r="J50" s="5">
        <v>6285</v>
      </c>
      <c r="K50" s="5">
        <f t="shared" si="4"/>
        <v>39155.550000000003</v>
      </c>
    </row>
    <row r="51" spans="8:11" x14ac:dyDescent="0.3">
      <c r="H51" s="2">
        <v>2010</v>
      </c>
      <c r="I51" s="2">
        <v>6.25</v>
      </c>
      <c r="J51" s="5">
        <v>4784</v>
      </c>
      <c r="K51" s="5">
        <f t="shared" si="4"/>
        <v>29900</v>
      </c>
    </row>
    <row r="52" spans="8:11" x14ac:dyDescent="0.3">
      <c r="H52" s="2">
        <v>2009</v>
      </c>
      <c r="I52" s="2">
        <v>6.43</v>
      </c>
      <c r="J52" s="5">
        <v>8920</v>
      </c>
      <c r="K52" s="5">
        <f t="shared" si="4"/>
        <v>57355.6</v>
      </c>
    </row>
    <row r="53" spans="8:11" x14ac:dyDescent="0.3">
      <c r="H53" s="2">
        <v>2007</v>
      </c>
      <c r="I53" s="2">
        <v>6.58</v>
      </c>
      <c r="J53" s="5">
        <v>4080</v>
      </c>
      <c r="K53" s="5">
        <f t="shared" si="4"/>
        <v>26846.400000000001</v>
      </c>
    </row>
    <row r="54" spans="8:11" x14ac:dyDescent="0.3">
      <c r="H54" s="2">
        <v>2006</v>
      </c>
      <c r="I54" s="2">
        <v>6.78</v>
      </c>
      <c r="J54" s="5">
        <v>1788</v>
      </c>
      <c r="K54" s="5">
        <f t="shared" si="4"/>
        <v>12122.640000000001</v>
      </c>
    </row>
    <row r="55" spans="8:11" x14ac:dyDescent="0.3">
      <c r="H55" s="2">
        <v>2010</v>
      </c>
      <c r="I55" s="2">
        <v>7.32</v>
      </c>
      <c r="J55" s="5">
        <v>4325</v>
      </c>
      <c r="K55" s="5">
        <f t="shared" si="4"/>
        <v>31659</v>
      </c>
    </row>
    <row r="56" spans="8:11" x14ac:dyDescent="0.3">
      <c r="H56" s="2">
        <v>2011</v>
      </c>
      <c r="I56" s="2">
        <v>7.47</v>
      </c>
      <c r="J56" s="5">
        <v>5058</v>
      </c>
      <c r="K56" s="5">
        <f t="shared" si="4"/>
        <v>37783.26</v>
      </c>
    </row>
    <row r="57" spans="8:11" x14ac:dyDescent="0.3">
      <c r="H57" s="2">
        <v>2006</v>
      </c>
      <c r="I57" s="2">
        <v>7.7</v>
      </c>
      <c r="J57" s="5">
        <v>737</v>
      </c>
      <c r="K57" s="5">
        <f t="shared" si="4"/>
        <v>5674.9000000000005</v>
      </c>
    </row>
    <row r="58" spans="8:11" x14ac:dyDescent="0.3">
      <c r="H58" s="2">
        <v>2008</v>
      </c>
      <c r="I58" s="2">
        <v>7.75</v>
      </c>
      <c r="J58" s="5">
        <v>1794</v>
      </c>
      <c r="K58" s="5">
        <f t="shared" si="4"/>
        <v>13903.5</v>
      </c>
    </row>
    <row r="59" spans="8:11" x14ac:dyDescent="0.3">
      <c r="H59" s="2">
        <v>2009</v>
      </c>
      <c r="I59" s="2">
        <v>8.01</v>
      </c>
      <c r="J59" s="5">
        <v>1957</v>
      </c>
      <c r="K59" s="5">
        <f t="shared" si="4"/>
        <v>15675.57</v>
      </c>
    </row>
    <row r="60" spans="8:11" x14ac:dyDescent="0.3">
      <c r="H60" s="2">
        <v>2007</v>
      </c>
      <c r="I60" s="2">
        <v>8.08</v>
      </c>
      <c r="J60" s="5">
        <v>1381</v>
      </c>
      <c r="K60" s="5">
        <f t="shared" si="4"/>
        <v>11158.48</v>
      </c>
    </row>
    <row r="61" spans="8:11" x14ac:dyDescent="0.3">
      <c r="H61" s="2">
        <v>2005</v>
      </c>
      <c r="I61" s="2">
        <v>8.19</v>
      </c>
      <c r="J61" s="5">
        <v>2348</v>
      </c>
      <c r="K61" s="5">
        <f t="shared" si="4"/>
        <v>19230.12</v>
      </c>
    </row>
    <row r="62" spans="8:11" x14ac:dyDescent="0.3">
      <c r="H62" s="2">
        <v>2008</v>
      </c>
      <c r="I62" s="2">
        <v>8.4</v>
      </c>
      <c r="J62" s="5">
        <v>715</v>
      </c>
      <c r="K62" s="5">
        <f t="shared" si="4"/>
        <v>6006</v>
      </c>
    </row>
    <row r="63" spans="8:11" x14ac:dyDescent="0.3">
      <c r="H63" s="2">
        <v>2010</v>
      </c>
      <c r="I63" s="2">
        <v>8.5299999999999994</v>
      </c>
      <c r="J63" s="5">
        <v>3034</v>
      </c>
      <c r="K63" s="5">
        <f t="shared" si="4"/>
        <v>25880.019999999997</v>
      </c>
    </row>
    <row r="64" spans="8:11" x14ac:dyDescent="0.3">
      <c r="H64" s="2">
        <v>2009</v>
      </c>
      <c r="I64" s="2">
        <v>8.5500000000000007</v>
      </c>
      <c r="J64" s="5">
        <v>987</v>
      </c>
      <c r="K64" s="5">
        <f t="shared" si="4"/>
        <v>8438.85</v>
      </c>
    </row>
    <row r="65" spans="8:11" x14ac:dyDescent="0.3">
      <c r="H65" s="2">
        <v>2011</v>
      </c>
      <c r="I65" s="2">
        <v>8.57</v>
      </c>
      <c r="J65" s="5">
        <v>3237</v>
      </c>
      <c r="K65" s="5">
        <f t="shared" si="4"/>
        <v>27741.09</v>
      </c>
    </row>
    <row r="66" spans="8:11" x14ac:dyDescent="0.3">
      <c r="H66" s="2">
        <v>2006</v>
      </c>
      <c r="I66" s="2">
        <v>8.58</v>
      </c>
      <c r="J66" s="5">
        <v>210</v>
      </c>
      <c r="K66" s="5">
        <f t="shared" si="4"/>
        <v>1801.8</v>
      </c>
    </row>
    <row r="67" spans="8:11" x14ac:dyDescent="0.3">
      <c r="H67" s="2">
        <v>2009</v>
      </c>
      <c r="I67" s="2">
        <v>8.67</v>
      </c>
      <c r="J67" s="5">
        <v>872</v>
      </c>
      <c r="K67" s="5">
        <f t="shared" si="4"/>
        <v>7560.24</v>
      </c>
    </row>
    <row r="68" spans="8:11" x14ac:dyDescent="0.3">
      <c r="H68" s="2">
        <v>2007</v>
      </c>
      <c r="I68" s="2">
        <v>8.94</v>
      </c>
      <c r="J68" s="5">
        <v>505</v>
      </c>
      <c r="K68" s="5">
        <f t="shared" si="4"/>
        <v>4514.7</v>
      </c>
    </row>
    <row r="69" spans="8:11" x14ac:dyDescent="0.3">
      <c r="H69" s="2">
        <v>2010</v>
      </c>
      <c r="I69" s="2">
        <v>9.15</v>
      </c>
      <c r="J69" s="5">
        <v>913</v>
      </c>
      <c r="K69" s="5">
        <f t="shared" ref="K69:K100" si="5">J69*I69</f>
        <v>8353.9500000000007</v>
      </c>
    </row>
    <row r="70" spans="8:11" x14ac:dyDescent="0.3">
      <c r="H70" s="2">
        <v>2005</v>
      </c>
      <c r="I70" s="2">
        <v>9.7200000000000006</v>
      </c>
      <c r="J70" s="5">
        <v>562</v>
      </c>
      <c r="K70" s="5">
        <f t="shared" si="5"/>
        <v>5462.64</v>
      </c>
    </row>
    <row r="71" spans="8:11" x14ac:dyDescent="0.3">
      <c r="H71" s="2">
        <v>2008</v>
      </c>
      <c r="I71" s="2">
        <v>10.119999999999999</v>
      </c>
      <c r="J71" s="5">
        <v>229</v>
      </c>
      <c r="K71" s="5">
        <f t="shared" si="5"/>
        <v>2317.48</v>
      </c>
    </row>
    <row r="72" spans="8:11" x14ac:dyDescent="0.3">
      <c r="H72" s="2">
        <v>2006</v>
      </c>
      <c r="I72" s="2">
        <v>10.15</v>
      </c>
      <c r="J72" s="5">
        <v>226</v>
      </c>
      <c r="K72" s="5">
        <f t="shared" si="5"/>
        <v>2293.9</v>
      </c>
    </row>
    <row r="73" spans="8:11" x14ac:dyDescent="0.3">
      <c r="H73" s="2">
        <v>2007</v>
      </c>
      <c r="I73" s="2">
        <v>10.17</v>
      </c>
      <c r="J73" s="5">
        <v>285</v>
      </c>
      <c r="K73" s="5">
        <f t="shared" si="5"/>
        <v>2898.45</v>
      </c>
    </row>
    <row r="74" spans="8:11" x14ac:dyDescent="0.3">
      <c r="H74" s="2">
        <v>2011</v>
      </c>
      <c r="I74" s="2">
        <v>10.72</v>
      </c>
      <c r="J74" s="5">
        <v>600</v>
      </c>
      <c r="K74" s="5">
        <f t="shared" si="5"/>
        <v>6432</v>
      </c>
    </row>
    <row r="75" spans="8:11" x14ac:dyDescent="0.3">
      <c r="H75" s="2">
        <v>2010</v>
      </c>
      <c r="I75" s="2">
        <v>11.38</v>
      </c>
      <c r="J75" s="5">
        <v>273</v>
      </c>
      <c r="K75" s="5">
        <f t="shared" si="5"/>
        <v>3106.7400000000002</v>
      </c>
    </row>
    <row r="76" spans="8:11" x14ac:dyDescent="0.3">
      <c r="H76" s="2">
        <v>2005</v>
      </c>
      <c r="I76" s="2">
        <v>11.5</v>
      </c>
      <c r="J76" s="5">
        <v>100</v>
      </c>
      <c r="K76" s="5">
        <f t="shared" si="5"/>
        <v>1150</v>
      </c>
    </row>
    <row r="77" spans="8:11" x14ac:dyDescent="0.3">
      <c r="H77" s="2">
        <v>2009</v>
      </c>
      <c r="I77" s="2">
        <v>12.02</v>
      </c>
      <c r="J77" s="5">
        <v>117</v>
      </c>
      <c r="K77" s="5">
        <f t="shared" si="5"/>
        <v>1406.34</v>
      </c>
    </row>
    <row r="78" spans="8:11" x14ac:dyDescent="0.3">
      <c r="H78" s="2">
        <v>2011</v>
      </c>
      <c r="I78" s="2">
        <v>13.26</v>
      </c>
      <c r="J78" s="5">
        <v>446</v>
      </c>
      <c r="K78" s="5">
        <f t="shared" si="5"/>
        <v>5913.96</v>
      </c>
    </row>
    <row r="79" spans="8:11" x14ac:dyDescent="0.3">
      <c r="H79" s="2">
        <v>2007</v>
      </c>
      <c r="I79" s="2">
        <v>13.36</v>
      </c>
      <c r="J79" s="5">
        <v>92</v>
      </c>
      <c r="K79" s="5">
        <f t="shared" si="5"/>
        <v>1229.1199999999999</v>
      </c>
    </row>
    <row r="80" spans="8:11" x14ac:dyDescent="0.3">
      <c r="H80" s="2">
        <v>2008</v>
      </c>
      <c r="I80" s="2">
        <v>13.67</v>
      </c>
      <c r="J80" s="5">
        <v>81</v>
      </c>
      <c r="K80" s="5">
        <f t="shared" si="5"/>
        <v>1107.27</v>
      </c>
    </row>
    <row r="81" spans="8:11" x14ac:dyDescent="0.3">
      <c r="H81" s="2">
        <v>2005</v>
      </c>
      <c r="I81" s="2">
        <v>14.42</v>
      </c>
      <c r="J81" s="5">
        <v>52</v>
      </c>
      <c r="K81" s="5">
        <f t="shared" si="5"/>
        <v>749.84</v>
      </c>
    </row>
    <row r="83" spans="8:11" x14ac:dyDescent="0.3">
      <c r="H83" s="5" t="s">
        <v>42</v>
      </c>
      <c r="J83" s="3">
        <f>SUM(J5:J81)</f>
        <v>1549654</v>
      </c>
      <c r="K83" s="3">
        <f>SUM(K5:K81)</f>
        <v>3986307.56</v>
      </c>
    </row>
    <row r="84" spans="8:11" x14ac:dyDescent="0.3">
      <c r="H84" s="5" t="s">
        <v>43</v>
      </c>
      <c r="K84" s="4">
        <f>K83/J83</f>
        <v>2.5723855518715792</v>
      </c>
    </row>
  </sheetData>
  <sortState ref="H5:K81">
    <sortCondition ref="I5:I81"/>
  </sortState>
  <hyperlinks>
    <hyperlink ref="D1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opLeftCell="A17" workbookViewId="0">
      <selection activeCell="B26" sqref="B26"/>
    </sheetView>
  </sheetViews>
  <sheetFormatPr defaultColWidth="9.109375" defaultRowHeight="14.4" x14ac:dyDescent="0.3"/>
  <cols>
    <col min="1" max="1" width="38.33203125" style="5" customWidth="1"/>
    <col min="2" max="2" width="16.33203125" style="5" customWidth="1"/>
    <col min="3" max="5" width="9.109375" style="5"/>
    <col min="6" max="7" width="9.109375" style="5" customWidth="1"/>
    <col min="8" max="9" width="9.109375" style="5"/>
    <col min="10" max="10" width="9" style="5" bestFit="1" customWidth="1"/>
    <col min="11" max="11" width="12" style="5" bestFit="1" customWidth="1"/>
    <col min="12" max="16384" width="9.109375" style="5"/>
  </cols>
  <sheetData>
    <row r="1" spans="1:15" ht="15" x14ac:dyDescent="0.25">
      <c r="A1" s="1" t="s">
        <v>45</v>
      </c>
      <c r="C1" s="24" t="s">
        <v>49</v>
      </c>
      <c r="O1" s="5" t="s">
        <v>59</v>
      </c>
    </row>
    <row r="2" spans="1:15" ht="15" x14ac:dyDescent="0.25">
      <c r="A2" s="1" t="s">
        <v>3</v>
      </c>
      <c r="C2" s="5" t="s">
        <v>50</v>
      </c>
    </row>
    <row r="3" spans="1:15" ht="15" x14ac:dyDescent="0.25">
      <c r="A3" s="1" t="s">
        <v>4</v>
      </c>
      <c r="B3" s="5">
        <v>0.15</v>
      </c>
    </row>
    <row r="4" spans="1:15" ht="15" x14ac:dyDescent="0.25">
      <c r="A4" s="1" t="s">
        <v>5</v>
      </c>
      <c r="B4" s="3">
        <v>5000000</v>
      </c>
      <c r="F4" s="1" t="s">
        <v>2</v>
      </c>
      <c r="G4" s="1" t="s">
        <v>0</v>
      </c>
      <c r="H4" s="12"/>
      <c r="I4" s="12" t="s">
        <v>40</v>
      </c>
      <c r="J4" s="12" t="s">
        <v>1</v>
      </c>
      <c r="K4" s="1" t="s">
        <v>41</v>
      </c>
    </row>
    <row r="5" spans="1:15" x14ac:dyDescent="0.3">
      <c r="A5" s="45" t="s">
        <v>6</v>
      </c>
      <c r="B5" s="46">
        <v>5</v>
      </c>
      <c r="E5" s="16">
        <v>2005</v>
      </c>
      <c r="F5" s="19">
        <v>0.14099999999999999</v>
      </c>
      <c r="G5" s="19">
        <v>6622000</v>
      </c>
      <c r="H5" s="12">
        <v>2005</v>
      </c>
      <c r="I5" s="13"/>
      <c r="J5" s="12"/>
    </row>
    <row r="6" spans="1:15" x14ac:dyDescent="0.3">
      <c r="A6" s="45" t="s">
        <v>7</v>
      </c>
      <c r="B6" s="46">
        <v>0.15</v>
      </c>
      <c r="E6" s="16">
        <f>E5+1</f>
        <v>2006</v>
      </c>
      <c r="F6" s="19">
        <v>0.14399999999999999</v>
      </c>
      <c r="G6" s="19">
        <v>7074000</v>
      </c>
      <c r="H6" s="12">
        <v>2006</v>
      </c>
      <c r="I6" s="13"/>
      <c r="J6" s="12"/>
    </row>
    <row r="7" spans="1:15" x14ac:dyDescent="0.3">
      <c r="A7" s="1" t="s">
        <v>66</v>
      </c>
      <c r="B7" s="40">
        <f>F12</f>
        <v>0.14533333333333334</v>
      </c>
      <c r="E7" s="16">
        <f t="shared" ref="E7:E10" si="0">E6+1</f>
        <v>2007</v>
      </c>
      <c r="F7" s="19">
        <v>0.122</v>
      </c>
      <c r="G7" s="19">
        <v>8077000</v>
      </c>
      <c r="H7" s="12">
        <v>2007</v>
      </c>
      <c r="I7" s="13"/>
      <c r="J7" s="12"/>
    </row>
    <row r="8" spans="1:15" x14ac:dyDescent="0.3">
      <c r="A8" s="1" t="s">
        <v>9</v>
      </c>
      <c r="B8" s="40">
        <f>F15</f>
        <v>0.13481892839957171</v>
      </c>
      <c r="E8" s="16">
        <f t="shared" si="0"/>
        <v>2008</v>
      </c>
      <c r="F8" s="19">
        <v>0.155</v>
      </c>
      <c r="G8" s="19">
        <v>8798000</v>
      </c>
      <c r="H8" s="12">
        <v>2008</v>
      </c>
      <c r="I8" s="13"/>
      <c r="J8" s="12"/>
    </row>
    <row r="9" spans="1:15" x14ac:dyDescent="0.3">
      <c r="A9" s="1" t="s">
        <v>10</v>
      </c>
      <c r="B9" s="40">
        <f>F16</f>
        <v>0.15584773826709497</v>
      </c>
      <c r="E9" s="16">
        <f t="shared" si="0"/>
        <v>2009</v>
      </c>
      <c r="F9" s="19">
        <v>0.152</v>
      </c>
      <c r="G9" s="19">
        <v>9927000</v>
      </c>
      <c r="H9" s="12">
        <v>2009</v>
      </c>
      <c r="I9" s="13"/>
      <c r="J9" s="12"/>
    </row>
    <row r="10" spans="1:15" x14ac:dyDescent="0.3">
      <c r="A10" s="1" t="s">
        <v>11</v>
      </c>
      <c r="B10" s="3">
        <f>G12</f>
        <v>8219428.5714285718</v>
      </c>
      <c r="E10" s="16">
        <f t="shared" si="0"/>
        <v>2010</v>
      </c>
      <c r="F10" s="19">
        <v>0.158</v>
      </c>
      <c r="G10" s="19">
        <v>9176000</v>
      </c>
      <c r="H10" s="12">
        <v>2010</v>
      </c>
      <c r="I10" s="13"/>
      <c r="J10" s="12"/>
    </row>
    <row r="11" spans="1:15" x14ac:dyDescent="0.3">
      <c r="A11" s="1" t="s">
        <v>12</v>
      </c>
      <c r="B11" s="3">
        <f>G15</f>
        <v>7354582.0567991473</v>
      </c>
      <c r="E11" s="5">
        <v>2011</v>
      </c>
      <c r="G11" s="47">
        <v>7862000</v>
      </c>
      <c r="H11" s="12">
        <v>2005</v>
      </c>
      <c r="I11" s="13">
        <v>9.1999999999999998E-2</v>
      </c>
      <c r="J11" s="12">
        <v>442</v>
      </c>
      <c r="K11" s="5">
        <f t="shared" ref="K11:K69" si="1">J11*I11</f>
        <v>40.664000000000001</v>
      </c>
    </row>
    <row r="12" spans="1:15" ht="15" x14ac:dyDescent="0.25">
      <c r="A12" s="1" t="s">
        <v>13</v>
      </c>
      <c r="B12" s="3">
        <f>G16</f>
        <v>9084275.0860579964</v>
      </c>
      <c r="E12" s="5" t="s">
        <v>35</v>
      </c>
      <c r="F12" s="4">
        <f>AVERAGE(F5:F10)</f>
        <v>0.14533333333333334</v>
      </c>
      <c r="G12" s="3">
        <f>AVERAGE(G5:G11)</f>
        <v>8219428.5714285718</v>
      </c>
      <c r="H12" s="12">
        <v>2006</v>
      </c>
      <c r="I12" s="13">
        <v>5.5E-2</v>
      </c>
      <c r="J12" s="12">
        <v>1968</v>
      </c>
      <c r="K12" s="5">
        <f t="shared" si="1"/>
        <v>108.24</v>
      </c>
    </row>
    <row r="13" spans="1:15" ht="15" x14ac:dyDescent="0.25">
      <c r="A13" s="1" t="s">
        <v>14</v>
      </c>
      <c r="B13" s="6">
        <v>26</v>
      </c>
      <c r="E13" s="5" t="s">
        <v>36</v>
      </c>
      <c r="F13" s="4">
        <f>STDEV(F5:F10)</f>
        <v>1.3140268896284685E-2</v>
      </c>
      <c r="G13" s="3">
        <f>STDEV(G5:G11)</f>
        <v>1167433.0611992055</v>
      </c>
      <c r="H13" s="12">
        <v>2007</v>
      </c>
      <c r="I13" s="13">
        <v>7.3999999999999996E-2</v>
      </c>
      <c r="J13" s="12">
        <v>4475</v>
      </c>
      <c r="K13" s="5">
        <f t="shared" si="1"/>
        <v>331.15</v>
      </c>
    </row>
    <row r="14" spans="1:15" ht="15" x14ac:dyDescent="0.25">
      <c r="A14" s="1" t="s">
        <v>15</v>
      </c>
      <c r="B14" s="9">
        <f>K102*1000</f>
        <v>298.62609599153166</v>
      </c>
      <c r="E14" s="5" t="s">
        <v>37</v>
      </c>
      <c r="F14" s="4">
        <f>F13/SQRT(COUNT(F5:F11))</f>
        <v>5.3644923131436952E-3</v>
      </c>
      <c r="G14" s="3">
        <f>G13/SQRT(COUNT(G5:G11))</f>
        <v>441248.2217497066</v>
      </c>
      <c r="H14" s="12">
        <v>2008</v>
      </c>
      <c r="I14" s="13">
        <v>2.5999999999999999E-2</v>
      </c>
      <c r="J14" s="12">
        <v>39898</v>
      </c>
      <c r="K14" s="5">
        <f t="shared" si="1"/>
        <v>1037.348</v>
      </c>
    </row>
    <row r="15" spans="1:15" ht="15" x14ac:dyDescent="0.25">
      <c r="A15" s="1" t="s">
        <v>16</v>
      </c>
      <c r="B15" s="7">
        <f>B7/B6</f>
        <v>0.96888888888888902</v>
      </c>
      <c r="E15" s="5" t="s">
        <v>38</v>
      </c>
      <c r="F15" s="4">
        <f>F12-1.96*F14</f>
        <v>0.13481892839957171</v>
      </c>
      <c r="G15" s="3">
        <f>G12-1.96*G14</f>
        <v>7354582.0567991473</v>
      </c>
      <c r="H15" s="12">
        <v>2009</v>
      </c>
      <c r="I15" s="13">
        <v>0.04</v>
      </c>
      <c r="J15" s="12">
        <v>3468</v>
      </c>
      <c r="K15" s="5">
        <f t="shared" si="1"/>
        <v>138.72</v>
      </c>
    </row>
    <row r="16" spans="1:15" ht="15" x14ac:dyDescent="0.25">
      <c r="A16" s="1" t="s">
        <v>65</v>
      </c>
      <c r="B16" s="7">
        <f>B7/B3</f>
        <v>0.96888888888888902</v>
      </c>
      <c r="E16" s="5" t="s">
        <v>39</v>
      </c>
      <c r="F16" s="4">
        <f>F12+1.96*F14</f>
        <v>0.15584773826709497</v>
      </c>
      <c r="G16" s="3">
        <f>G12+1.96*G14</f>
        <v>9084275.0860579964</v>
      </c>
      <c r="H16" s="12">
        <v>2010</v>
      </c>
      <c r="I16" s="13">
        <v>5.8999999999999997E-2</v>
      </c>
      <c r="J16" s="12">
        <v>75981</v>
      </c>
      <c r="K16" s="5">
        <f t="shared" si="1"/>
        <v>4482.8789999999999</v>
      </c>
    </row>
    <row r="17" spans="1:11" ht="15" x14ac:dyDescent="0.25">
      <c r="A17" s="1" t="s">
        <v>17</v>
      </c>
      <c r="H17" s="12">
        <v>2005</v>
      </c>
      <c r="I17" s="13">
        <v>0.106</v>
      </c>
      <c r="J17" s="12">
        <v>20411</v>
      </c>
      <c r="K17" s="5">
        <f t="shared" si="1"/>
        <v>2163.5659999999998</v>
      </c>
    </row>
    <row r="18" spans="1:11" ht="15" x14ac:dyDescent="0.25">
      <c r="A18" s="1" t="s">
        <v>18</v>
      </c>
      <c r="B18" s="5">
        <v>1.72E-3</v>
      </c>
      <c r="H18" s="12">
        <v>2006</v>
      </c>
      <c r="I18" s="13">
        <v>0.10199999999999999</v>
      </c>
      <c r="J18" s="12">
        <v>45438</v>
      </c>
      <c r="K18" s="5">
        <f t="shared" si="1"/>
        <v>4634.6759999999995</v>
      </c>
    </row>
    <row r="19" spans="1:11" ht="15" x14ac:dyDescent="0.25">
      <c r="A19" s="1" t="s">
        <v>19</v>
      </c>
      <c r="B19" s="7">
        <v>3.4220000000000002</v>
      </c>
      <c r="H19" s="12">
        <v>2007</v>
      </c>
      <c r="I19" s="13">
        <v>0.13700000000000001</v>
      </c>
      <c r="J19" s="12">
        <v>8450</v>
      </c>
      <c r="K19" s="5">
        <f t="shared" si="1"/>
        <v>1157.6500000000001</v>
      </c>
    </row>
    <row r="20" spans="1:11" ht="15" x14ac:dyDescent="0.25">
      <c r="A20" s="1" t="s">
        <v>20</v>
      </c>
      <c r="B20" s="5">
        <v>38</v>
      </c>
      <c r="H20" s="12">
        <v>2008</v>
      </c>
      <c r="I20" s="13">
        <v>0.106</v>
      </c>
      <c r="J20" s="12">
        <v>123949</v>
      </c>
      <c r="K20" s="5">
        <f t="shared" si="1"/>
        <v>13138.593999999999</v>
      </c>
    </row>
    <row r="21" spans="1:11" ht="15" x14ac:dyDescent="0.25">
      <c r="A21" s="1" t="s">
        <v>21</v>
      </c>
      <c r="B21" s="5">
        <v>0.19</v>
      </c>
      <c r="H21" s="12">
        <v>2009</v>
      </c>
      <c r="I21" s="13">
        <v>0.156</v>
      </c>
      <c r="J21" s="12">
        <v>113424</v>
      </c>
      <c r="K21" s="5">
        <f t="shared" si="1"/>
        <v>17694.144</v>
      </c>
    </row>
    <row r="22" spans="1:11" ht="15" x14ac:dyDescent="0.25">
      <c r="A22" s="1" t="s">
        <v>22</v>
      </c>
      <c r="B22" s="5">
        <v>-0.83</v>
      </c>
      <c r="H22" s="12">
        <v>2010</v>
      </c>
      <c r="I22" s="13">
        <v>0.107</v>
      </c>
      <c r="J22" s="12">
        <v>61673</v>
      </c>
      <c r="K22" s="5">
        <f t="shared" si="1"/>
        <v>6599.0109999999995</v>
      </c>
    </row>
    <row r="23" spans="1:11" ht="15" x14ac:dyDescent="0.25">
      <c r="A23" s="1"/>
      <c r="H23" s="12">
        <v>2005</v>
      </c>
      <c r="I23" s="13">
        <v>0.18099999999999999</v>
      </c>
      <c r="J23" s="12">
        <v>447788</v>
      </c>
      <c r="K23" s="5">
        <f t="shared" si="1"/>
        <v>81049.627999999997</v>
      </c>
    </row>
    <row r="24" spans="1:11" ht="15" x14ac:dyDescent="0.25">
      <c r="A24" s="1" t="s">
        <v>23</v>
      </c>
      <c r="H24" s="12">
        <v>2006</v>
      </c>
      <c r="I24" s="13">
        <v>0.17100000000000001</v>
      </c>
      <c r="J24" s="12">
        <v>75824</v>
      </c>
      <c r="K24" s="5">
        <f t="shared" si="1"/>
        <v>12965.904</v>
      </c>
    </row>
    <row r="25" spans="1:11" x14ac:dyDescent="0.3">
      <c r="A25" s="1" t="s">
        <v>24</v>
      </c>
      <c r="B25" s="7">
        <f>B20*(1-EXP(-B21*(B5-B22)))</f>
        <v>25.447922876564014</v>
      </c>
      <c r="H25" s="12">
        <v>2007</v>
      </c>
      <c r="I25" s="13">
        <v>0.16200000000000001</v>
      </c>
      <c r="J25" s="12">
        <v>224636</v>
      </c>
      <c r="K25" s="5">
        <f t="shared" si="1"/>
        <v>36391.031999999999</v>
      </c>
    </row>
    <row r="26" spans="1:11" x14ac:dyDescent="0.3">
      <c r="A26" s="1" t="s">
        <v>25</v>
      </c>
      <c r="B26" s="7">
        <f>B20*3/(3+B6/B21)</f>
        <v>30.083333333333332</v>
      </c>
      <c r="C26" s="5">
        <f>2/3*B20</f>
        <v>25.333333333333332</v>
      </c>
      <c r="H26" s="12">
        <v>2008</v>
      </c>
      <c r="I26" s="13">
        <v>0.14499999999999999</v>
      </c>
      <c r="J26" s="12">
        <v>36630</v>
      </c>
      <c r="K26" s="5">
        <f t="shared" si="1"/>
        <v>5311.3499999999995</v>
      </c>
    </row>
    <row r="27" spans="1:11" x14ac:dyDescent="0.3">
      <c r="A27" s="1" t="s">
        <v>26</v>
      </c>
      <c r="B27" s="7">
        <f>(B13/B18)^(1/B19)</f>
        <v>16.647371655952412</v>
      </c>
      <c r="H27" s="12">
        <v>2009</v>
      </c>
      <c r="I27" s="13">
        <v>0.184</v>
      </c>
      <c r="J27" s="12">
        <v>192641</v>
      </c>
      <c r="K27" s="5">
        <f t="shared" si="1"/>
        <v>35445.943999999996</v>
      </c>
    </row>
    <row r="28" spans="1:11" x14ac:dyDescent="0.3">
      <c r="A28" s="1" t="s">
        <v>27</v>
      </c>
      <c r="B28" s="7">
        <f>(B14/B18)^(1/B19)</f>
        <v>33.974351191668596</v>
      </c>
      <c r="H28" s="12">
        <v>2010</v>
      </c>
      <c r="I28" s="13">
        <v>0.17699999999999999</v>
      </c>
      <c r="J28" s="12">
        <v>101948</v>
      </c>
      <c r="K28" s="5">
        <f t="shared" si="1"/>
        <v>18044.795999999998</v>
      </c>
    </row>
    <row r="29" spans="1:11" x14ac:dyDescent="0.3">
      <c r="A29" s="1" t="s">
        <v>28</v>
      </c>
      <c r="B29" s="7">
        <f>(B20*B21+2*B27*B6)/(B21+2*B6)</f>
        <v>24.926962238338209</v>
      </c>
      <c r="C29" s="65">
        <f>(3*B27+B20)/4</f>
        <v>21.985528741964309</v>
      </c>
      <c r="H29" s="12">
        <v>2005</v>
      </c>
      <c r="I29" s="13">
        <v>0.23499999999999999</v>
      </c>
      <c r="J29" s="12">
        <v>94206</v>
      </c>
      <c r="K29" s="5">
        <f t="shared" si="1"/>
        <v>22138.41</v>
      </c>
    </row>
    <row r="30" spans="1:11" x14ac:dyDescent="0.3">
      <c r="A30" s="1"/>
      <c r="H30" s="12">
        <v>2006</v>
      </c>
      <c r="I30" s="13">
        <v>0.23799999999999999</v>
      </c>
      <c r="J30" s="12">
        <v>729898</v>
      </c>
      <c r="K30" s="5">
        <f t="shared" si="1"/>
        <v>173715.72399999999</v>
      </c>
    </row>
    <row r="31" spans="1:11" x14ac:dyDescent="0.3">
      <c r="A31" s="1"/>
      <c r="H31" s="12">
        <v>2007</v>
      </c>
      <c r="I31" s="13">
        <v>0.22800000000000001</v>
      </c>
      <c r="J31" s="12">
        <v>366983</v>
      </c>
      <c r="K31" s="5">
        <f t="shared" si="1"/>
        <v>83672.123999999996</v>
      </c>
    </row>
    <row r="32" spans="1:11" x14ac:dyDescent="0.3">
      <c r="A32" s="1" t="s">
        <v>29</v>
      </c>
      <c r="H32" s="12">
        <v>2008</v>
      </c>
      <c r="I32" s="13">
        <v>0.20899999999999999</v>
      </c>
      <c r="J32" s="12">
        <v>550274</v>
      </c>
      <c r="K32" s="5">
        <f t="shared" si="1"/>
        <v>115007.26599999999</v>
      </c>
    </row>
    <row r="33" spans="1:11" x14ac:dyDescent="0.3">
      <c r="A33" s="1" t="s">
        <v>30</v>
      </c>
      <c r="H33" s="12">
        <v>2009</v>
      </c>
      <c r="I33" s="13">
        <v>0.22</v>
      </c>
      <c r="J33" s="12">
        <v>149075</v>
      </c>
      <c r="K33" s="5">
        <f t="shared" si="1"/>
        <v>32796.5</v>
      </c>
    </row>
    <row r="34" spans="1:11" x14ac:dyDescent="0.3">
      <c r="A34" s="1" t="s">
        <v>31</v>
      </c>
      <c r="B34" s="4">
        <f>B21*(B28-B20)/(B27-B28)-B6</f>
        <v>-0.10585651428707871</v>
      </c>
      <c r="H34" s="12">
        <v>2010</v>
      </c>
      <c r="I34" s="13">
        <v>0.20799999999999999</v>
      </c>
      <c r="J34" s="12">
        <v>209295</v>
      </c>
      <c r="K34" s="5">
        <f t="shared" si="1"/>
        <v>43533.36</v>
      </c>
    </row>
    <row r="35" spans="1:11" x14ac:dyDescent="0.3">
      <c r="A35" s="1" t="s">
        <v>16</v>
      </c>
      <c r="B35" s="4">
        <f>ABS(B21/B6*(B28-B20)/(B27-B28)-1)</f>
        <v>0.70571009524719142</v>
      </c>
      <c r="H35" s="12">
        <v>2005</v>
      </c>
      <c r="I35" s="13">
        <v>0.26600000000000001</v>
      </c>
      <c r="J35" s="12">
        <v>170547</v>
      </c>
      <c r="K35" s="5">
        <f t="shared" si="1"/>
        <v>45365.502</v>
      </c>
    </row>
    <row r="36" spans="1:11" x14ac:dyDescent="0.3">
      <c r="A36" s="1" t="s">
        <v>32</v>
      </c>
      <c r="B36" s="4">
        <f>ABS(2*(B28-B20)/(3*(B27-B28))-1)</f>
        <v>0.84511057644589027</v>
      </c>
      <c r="H36" s="12">
        <v>2006</v>
      </c>
      <c r="I36" s="13">
        <v>0.26800000000000002</v>
      </c>
      <c r="J36" s="12">
        <v>82107</v>
      </c>
      <c r="K36" s="5">
        <f t="shared" si="1"/>
        <v>22004.676000000003</v>
      </c>
    </row>
    <row r="37" spans="1:11" x14ac:dyDescent="0.3">
      <c r="A37" s="1" t="s">
        <v>33</v>
      </c>
      <c r="B37" s="7">
        <f>(3*B27+B20)/4</f>
        <v>21.985528741964309</v>
      </c>
      <c r="H37" s="12">
        <v>2007</v>
      </c>
      <c r="I37" s="13">
        <v>0.27100000000000002</v>
      </c>
      <c r="J37" s="12">
        <v>1804495</v>
      </c>
      <c r="K37" s="5">
        <f t="shared" si="1"/>
        <v>489018.14500000002</v>
      </c>
    </row>
    <row r="38" spans="1:11" x14ac:dyDescent="0.3">
      <c r="H38" s="12">
        <v>2008</v>
      </c>
      <c r="I38" s="13">
        <v>0.254</v>
      </c>
      <c r="J38" s="12">
        <v>670681</v>
      </c>
      <c r="K38" s="5">
        <f t="shared" si="1"/>
        <v>170352.97400000002</v>
      </c>
    </row>
    <row r="39" spans="1:11" x14ac:dyDescent="0.3">
      <c r="H39" s="12">
        <v>2009</v>
      </c>
      <c r="I39" s="13">
        <v>0.251</v>
      </c>
      <c r="J39" s="12">
        <v>1193781</v>
      </c>
      <c r="K39" s="5">
        <f t="shared" si="1"/>
        <v>299639.03100000002</v>
      </c>
    </row>
    <row r="40" spans="1:11" x14ac:dyDescent="0.3">
      <c r="H40" s="12">
        <v>2010</v>
      </c>
      <c r="I40" s="13">
        <v>0.26100000000000001</v>
      </c>
      <c r="J40" s="12">
        <v>189784</v>
      </c>
      <c r="K40" s="5">
        <f t="shared" si="1"/>
        <v>49533.624000000003</v>
      </c>
    </row>
    <row r="41" spans="1:11" x14ac:dyDescent="0.3">
      <c r="H41" s="12">
        <v>2005</v>
      </c>
      <c r="I41" s="13">
        <v>0.28999999999999998</v>
      </c>
      <c r="J41" s="12">
        <v>643600</v>
      </c>
      <c r="K41" s="5">
        <f t="shared" si="1"/>
        <v>186644</v>
      </c>
    </row>
    <row r="42" spans="1:11" x14ac:dyDescent="0.3">
      <c r="H42" s="12">
        <v>2006</v>
      </c>
      <c r="I42" s="13">
        <v>0.29199999999999998</v>
      </c>
      <c r="J42" s="12">
        <v>171370</v>
      </c>
      <c r="K42" s="5">
        <f t="shared" si="1"/>
        <v>50040.039999999994</v>
      </c>
    </row>
    <row r="43" spans="1:11" x14ac:dyDescent="0.3">
      <c r="H43" s="12">
        <v>2007</v>
      </c>
      <c r="I43" s="13">
        <v>0.316</v>
      </c>
      <c r="J43" s="12">
        <v>152916</v>
      </c>
      <c r="K43" s="5">
        <f t="shared" si="1"/>
        <v>48321.455999999998</v>
      </c>
    </row>
    <row r="44" spans="1:11" x14ac:dyDescent="0.3">
      <c r="H44" s="12">
        <v>2008</v>
      </c>
      <c r="I44" s="13">
        <v>0.29599999999999999</v>
      </c>
      <c r="J44" s="12">
        <v>2295912</v>
      </c>
      <c r="K44" s="5">
        <f t="shared" si="1"/>
        <v>679589.95199999993</v>
      </c>
    </row>
    <row r="45" spans="1:11" x14ac:dyDescent="0.3">
      <c r="H45" s="12">
        <v>2009</v>
      </c>
      <c r="I45" s="13">
        <v>0.29099999999999998</v>
      </c>
      <c r="J45" s="12">
        <v>914748</v>
      </c>
      <c r="K45" s="5">
        <f t="shared" si="1"/>
        <v>266191.66800000001</v>
      </c>
    </row>
    <row r="46" spans="1:11" x14ac:dyDescent="0.3">
      <c r="H46" s="12">
        <v>2010</v>
      </c>
      <c r="I46" s="13">
        <v>0.27900000000000003</v>
      </c>
      <c r="J46" s="12">
        <v>1064866</v>
      </c>
      <c r="K46" s="5">
        <f t="shared" si="1"/>
        <v>297097.614</v>
      </c>
    </row>
    <row r="47" spans="1:11" x14ac:dyDescent="0.3">
      <c r="H47" s="12">
        <v>2005</v>
      </c>
      <c r="I47" s="13">
        <v>0.315</v>
      </c>
      <c r="J47" s="12">
        <v>930309</v>
      </c>
      <c r="K47" s="5">
        <f t="shared" si="1"/>
        <v>293047.33500000002</v>
      </c>
    </row>
    <row r="48" spans="1:11" x14ac:dyDescent="0.3">
      <c r="H48" s="12">
        <v>2006</v>
      </c>
      <c r="I48" s="13">
        <v>0.311</v>
      </c>
      <c r="J48" s="12">
        <v>726041</v>
      </c>
      <c r="K48" s="5">
        <f t="shared" si="1"/>
        <v>225798.75099999999</v>
      </c>
    </row>
    <row r="49" spans="8:11" x14ac:dyDescent="0.3">
      <c r="H49" s="12">
        <v>2007</v>
      </c>
      <c r="I49" s="13">
        <v>0.33200000000000002</v>
      </c>
      <c r="J49" s="12">
        <v>242923</v>
      </c>
      <c r="K49" s="5">
        <f t="shared" si="1"/>
        <v>80650.436000000002</v>
      </c>
    </row>
    <row r="50" spans="8:11" x14ac:dyDescent="0.3">
      <c r="H50" s="12">
        <v>2008</v>
      </c>
      <c r="I50" s="13">
        <v>0.318</v>
      </c>
      <c r="J50" s="12">
        <v>199592</v>
      </c>
      <c r="K50" s="5">
        <f t="shared" si="1"/>
        <v>63470.256000000001</v>
      </c>
    </row>
    <row r="51" spans="8:11" x14ac:dyDescent="0.3">
      <c r="H51" s="12">
        <v>2009</v>
      </c>
      <c r="I51" s="13">
        <v>0.311</v>
      </c>
      <c r="J51" s="12">
        <v>1929631</v>
      </c>
      <c r="K51" s="5">
        <f t="shared" si="1"/>
        <v>600115.24100000004</v>
      </c>
    </row>
    <row r="52" spans="8:11" x14ac:dyDescent="0.3">
      <c r="H52" s="12">
        <v>2010</v>
      </c>
      <c r="I52" s="13">
        <v>0.311</v>
      </c>
      <c r="J52" s="12">
        <v>711951</v>
      </c>
      <c r="K52" s="5">
        <f t="shared" si="1"/>
        <v>221416.761</v>
      </c>
    </row>
    <row r="53" spans="8:11" x14ac:dyDescent="0.3">
      <c r="H53" s="12">
        <v>2005</v>
      </c>
      <c r="I53" s="13">
        <v>0.34399999999999997</v>
      </c>
      <c r="J53" s="12">
        <v>121856</v>
      </c>
      <c r="K53" s="5">
        <f t="shared" si="1"/>
        <v>41918.464</v>
      </c>
    </row>
    <row r="54" spans="8:11" x14ac:dyDescent="0.3">
      <c r="H54" s="12">
        <v>2006</v>
      </c>
      <c r="I54" s="13">
        <v>0.33</v>
      </c>
      <c r="J54" s="12">
        <v>772217</v>
      </c>
      <c r="K54" s="5">
        <f t="shared" si="1"/>
        <v>254831.61000000002</v>
      </c>
    </row>
    <row r="55" spans="8:11" x14ac:dyDescent="0.3">
      <c r="H55" s="12">
        <v>2007</v>
      </c>
      <c r="I55" s="13">
        <v>0.34200000000000003</v>
      </c>
      <c r="J55" s="12">
        <v>728836</v>
      </c>
      <c r="K55" s="5">
        <f t="shared" si="1"/>
        <v>249261.91200000001</v>
      </c>
    </row>
    <row r="56" spans="8:11" x14ac:dyDescent="0.3">
      <c r="H56" s="12">
        <v>2008</v>
      </c>
      <c r="I56" s="13">
        <v>0.34100000000000003</v>
      </c>
      <c r="J56" s="12">
        <v>256132</v>
      </c>
      <c r="K56" s="5">
        <f t="shared" si="1"/>
        <v>87341.012000000002</v>
      </c>
    </row>
    <row r="57" spans="8:11" x14ac:dyDescent="0.3">
      <c r="H57" s="12">
        <v>2009</v>
      </c>
      <c r="I57" s="13">
        <v>0.33800000000000002</v>
      </c>
      <c r="J57" s="12">
        <v>142931</v>
      </c>
      <c r="K57" s="5">
        <f t="shared" si="1"/>
        <v>48310.678</v>
      </c>
    </row>
    <row r="58" spans="8:11" x14ac:dyDescent="0.3">
      <c r="H58" s="12">
        <v>2010</v>
      </c>
      <c r="I58" s="13">
        <v>0.32500000000000001</v>
      </c>
      <c r="J58" s="12">
        <v>1421939</v>
      </c>
      <c r="K58" s="5">
        <f t="shared" si="1"/>
        <v>462130.17499999999</v>
      </c>
    </row>
    <row r="59" spans="8:11" x14ac:dyDescent="0.3">
      <c r="H59" s="12">
        <v>2005</v>
      </c>
      <c r="I59" s="13">
        <v>0.36699999999999999</v>
      </c>
      <c r="J59" s="12">
        <v>123291</v>
      </c>
      <c r="K59" s="5">
        <f t="shared" si="1"/>
        <v>45247.796999999999</v>
      </c>
    </row>
    <row r="60" spans="8:11" x14ac:dyDescent="0.3">
      <c r="H60" s="12">
        <v>2006</v>
      </c>
      <c r="I60" s="13">
        <v>0.36499999999999999</v>
      </c>
      <c r="J60" s="12">
        <v>88701</v>
      </c>
      <c r="K60" s="5">
        <f t="shared" si="1"/>
        <v>32375.864999999998</v>
      </c>
    </row>
    <row r="61" spans="8:11" x14ac:dyDescent="0.3">
      <c r="H61" s="12">
        <v>2007</v>
      </c>
      <c r="I61" s="13">
        <v>0.35799999999999998</v>
      </c>
      <c r="J61" s="12">
        <v>511664</v>
      </c>
      <c r="K61" s="12">
        <f t="shared" si="1"/>
        <v>183175.712</v>
      </c>
    </row>
    <row r="62" spans="8:11" x14ac:dyDescent="0.3">
      <c r="H62" s="12">
        <v>2008</v>
      </c>
      <c r="I62" s="13">
        <v>0.35299999999999998</v>
      </c>
      <c r="J62" s="12">
        <v>586583</v>
      </c>
      <c r="K62" s="12">
        <f t="shared" si="1"/>
        <v>207063.799</v>
      </c>
    </row>
    <row r="63" spans="8:11" x14ac:dyDescent="0.3">
      <c r="H63" s="12">
        <v>2009</v>
      </c>
      <c r="I63" s="13">
        <v>0.34699999999999998</v>
      </c>
      <c r="J63" s="12">
        <v>262037</v>
      </c>
      <c r="K63" s="12">
        <f t="shared" si="1"/>
        <v>90926.838999999993</v>
      </c>
    </row>
    <row r="64" spans="8:11" x14ac:dyDescent="0.3">
      <c r="H64" s="12">
        <v>2010</v>
      </c>
      <c r="I64" s="13">
        <v>0.34300000000000003</v>
      </c>
      <c r="J64" s="12">
        <v>175010</v>
      </c>
      <c r="K64" s="12">
        <f t="shared" si="1"/>
        <v>60028.430000000008</v>
      </c>
    </row>
    <row r="65" spans="8:11" x14ac:dyDescent="0.3">
      <c r="H65" s="12">
        <v>2005</v>
      </c>
      <c r="I65" s="13">
        <v>0.38400000000000001</v>
      </c>
      <c r="J65" s="12">
        <v>37967</v>
      </c>
      <c r="K65" s="12">
        <f t="shared" si="1"/>
        <v>14579.328</v>
      </c>
    </row>
    <row r="66" spans="8:11" x14ac:dyDescent="0.3">
      <c r="H66" s="12">
        <v>2006</v>
      </c>
      <c r="I66" s="13">
        <v>0.374</v>
      </c>
      <c r="J66" s="12">
        <v>77115</v>
      </c>
      <c r="K66" s="12">
        <f t="shared" si="1"/>
        <v>28841.01</v>
      </c>
    </row>
    <row r="67" spans="8:11" x14ac:dyDescent="0.3">
      <c r="H67" s="12">
        <v>2007</v>
      </c>
      <c r="I67" s="13">
        <v>0.36099999999999999</v>
      </c>
      <c r="J67" s="12">
        <v>47215</v>
      </c>
      <c r="K67" s="12">
        <f t="shared" si="1"/>
        <v>17044.614999999998</v>
      </c>
    </row>
    <row r="68" spans="8:11" x14ac:dyDescent="0.3">
      <c r="H68" s="12">
        <v>2008</v>
      </c>
      <c r="I68" s="13">
        <v>0.36299999999999999</v>
      </c>
      <c r="J68" s="12">
        <v>369620</v>
      </c>
      <c r="K68" s="12">
        <f t="shared" si="1"/>
        <v>134172.06</v>
      </c>
    </row>
    <row r="69" spans="8:11" x14ac:dyDescent="0.3">
      <c r="H69" s="12">
        <v>2009</v>
      </c>
      <c r="I69" s="13">
        <v>0.36299999999999999</v>
      </c>
      <c r="J69" s="12">
        <v>423972</v>
      </c>
      <c r="K69" s="12">
        <f t="shared" si="1"/>
        <v>153901.83599999998</v>
      </c>
    </row>
    <row r="70" spans="8:11" x14ac:dyDescent="0.3">
      <c r="H70" s="12">
        <v>2010</v>
      </c>
      <c r="I70" s="13">
        <v>0.36199999999999999</v>
      </c>
      <c r="J70" s="12">
        <v>180164</v>
      </c>
      <c r="K70" s="12">
        <f t="shared" ref="K70:K100" si="2">J70*I70</f>
        <v>65219.367999999995</v>
      </c>
    </row>
    <row r="71" spans="8:11" x14ac:dyDescent="0.3">
      <c r="H71" s="12">
        <v>2005</v>
      </c>
      <c r="I71" s="13">
        <v>0.372</v>
      </c>
      <c r="J71" s="12">
        <v>65289</v>
      </c>
      <c r="K71" s="12">
        <f t="shared" si="2"/>
        <v>24287.508000000002</v>
      </c>
    </row>
    <row r="72" spans="8:11" x14ac:dyDescent="0.3">
      <c r="H72" s="12">
        <v>2006</v>
      </c>
      <c r="I72" s="13">
        <v>0.376</v>
      </c>
      <c r="J72" s="12">
        <v>30339</v>
      </c>
      <c r="K72" s="12">
        <f t="shared" si="2"/>
        <v>11407.464</v>
      </c>
    </row>
    <row r="73" spans="8:11" x14ac:dyDescent="0.3">
      <c r="H73" s="12">
        <v>2007</v>
      </c>
      <c r="I73" s="13">
        <v>0.38100000000000001</v>
      </c>
      <c r="J73" s="12">
        <v>25384</v>
      </c>
      <c r="K73" s="12">
        <f t="shared" si="2"/>
        <v>9671.3040000000001</v>
      </c>
    </row>
    <row r="74" spans="8:11" x14ac:dyDescent="0.3">
      <c r="H74" s="12">
        <v>2008</v>
      </c>
      <c r="I74" s="13">
        <v>0.36699999999999999</v>
      </c>
      <c r="J74" s="12">
        <v>29633</v>
      </c>
      <c r="K74" s="12">
        <f t="shared" si="2"/>
        <v>10875.311</v>
      </c>
    </row>
    <row r="75" spans="8:11" x14ac:dyDescent="0.3">
      <c r="H75" s="12">
        <v>2009</v>
      </c>
      <c r="I75" s="13">
        <v>0.375</v>
      </c>
      <c r="J75" s="12">
        <v>238174</v>
      </c>
      <c r="K75" s="12">
        <f t="shared" si="2"/>
        <v>89315.25</v>
      </c>
    </row>
    <row r="76" spans="8:11" x14ac:dyDescent="0.3">
      <c r="H76" s="12">
        <v>2010</v>
      </c>
      <c r="I76" s="13">
        <v>0.37</v>
      </c>
      <c r="J76" s="12">
        <v>340781</v>
      </c>
      <c r="K76" s="12">
        <f t="shared" si="2"/>
        <v>126088.97</v>
      </c>
    </row>
    <row r="77" spans="8:11" x14ac:dyDescent="0.3">
      <c r="H77" s="12">
        <v>2005</v>
      </c>
      <c r="I77" s="13">
        <v>0.38400000000000001</v>
      </c>
      <c r="J77" s="12">
        <v>139331</v>
      </c>
      <c r="K77" s="12">
        <f t="shared" si="2"/>
        <v>53503.103999999999</v>
      </c>
    </row>
    <row r="78" spans="8:11" x14ac:dyDescent="0.3">
      <c r="H78" s="12">
        <v>2006</v>
      </c>
      <c r="I78" s="13">
        <v>0.38800000000000001</v>
      </c>
      <c r="J78" s="12">
        <v>57882</v>
      </c>
      <c r="K78" s="12">
        <f t="shared" si="2"/>
        <v>22458.216</v>
      </c>
    </row>
    <row r="79" spans="8:11" x14ac:dyDescent="0.3">
      <c r="H79" s="12">
        <v>2007</v>
      </c>
      <c r="I79" s="13">
        <v>0.39</v>
      </c>
      <c r="J79" s="12">
        <v>15316</v>
      </c>
      <c r="K79" s="12">
        <f t="shared" si="2"/>
        <v>5973.24</v>
      </c>
    </row>
    <row r="80" spans="8:11" x14ac:dyDescent="0.3">
      <c r="H80" s="12">
        <v>2008</v>
      </c>
      <c r="I80" s="13">
        <v>0.39500000000000002</v>
      </c>
      <c r="J80" s="12">
        <v>36025</v>
      </c>
      <c r="K80" s="12">
        <f t="shared" si="2"/>
        <v>14229.875</v>
      </c>
    </row>
    <row r="81" spans="8:11" x14ac:dyDescent="0.3">
      <c r="H81" s="12">
        <v>2009</v>
      </c>
      <c r="I81" s="13">
        <v>0.38200000000000001</v>
      </c>
      <c r="J81" s="12">
        <v>45519</v>
      </c>
      <c r="K81" s="12">
        <f t="shared" si="2"/>
        <v>17388.258000000002</v>
      </c>
    </row>
    <row r="82" spans="8:11" x14ac:dyDescent="0.3">
      <c r="H82" s="12">
        <v>2010</v>
      </c>
      <c r="I82" s="13">
        <v>0.38800000000000001</v>
      </c>
      <c r="J82" s="12">
        <v>179039</v>
      </c>
      <c r="K82" s="12">
        <f t="shared" si="2"/>
        <v>69467.131999999998</v>
      </c>
    </row>
    <row r="83" spans="8:11" x14ac:dyDescent="0.3">
      <c r="H83" s="12">
        <v>2005</v>
      </c>
      <c r="I83" s="13">
        <v>0.39800000000000002</v>
      </c>
      <c r="J83" s="12">
        <v>344822</v>
      </c>
      <c r="K83" s="12">
        <f t="shared" si="2"/>
        <v>137239.15600000002</v>
      </c>
    </row>
    <row r="84" spans="8:11" x14ac:dyDescent="0.3">
      <c r="H84" s="12">
        <v>2006</v>
      </c>
      <c r="I84" s="13">
        <v>0.39600000000000002</v>
      </c>
      <c r="J84" s="12">
        <v>133665</v>
      </c>
      <c r="K84" s="12">
        <f t="shared" si="2"/>
        <v>52931.340000000004</v>
      </c>
    </row>
    <row r="85" spans="8:11" x14ac:dyDescent="0.3">
      <c r="H85" s="12">
        <v>2007</v>
      </c>
      <c r="I85" s="13">
        <v>0.4</v>
      </c>
      <c r="J85" s="12">
        <v>24488</v>
      </c>
      <c r="K85" s="12">
        <f t="shared" si="2"/>
        <v>9795.2000000000007</v>
      </c>
    </row>
    <row r="86" spans="8:11" x14ac:dyDescent="0.3">
      <c r="H86" s="12">
        <v>2008</v>
      </c>
      <c r="I86" s="13">
        <v>0.39600000000000002</v>
      </c>
      <c r="J86" s="12">
        <v>23775</v>
      </c>
      <c r="K86" s="12">
        <f t="shared" si="2"/>
        <v>9414.9</v>
      </c>
    </row>
    <row r="87" spans="8:11" x14ac:dyDescent="0.3">
      <c r="H87" s="12">
        <v>2009</v>
      </c>
      <c r="I87" s="13">
        <v>0.375</v>
      </c>
      <c r="J87" s="12">
        <v>9337</v>
      </c>
      <c r="K87" s="12">
        <f t="shared" si="2"/>
        <v>3501.375</v>
      </c>
    </row>
    <row r="88" spans="8:11" x14ac:dyDescent="0.3">
      <c r="H88" s="12">
        <v>2010</v>
      </c>
      <c r="I88" s="13">
        <v>0.39100000000000001</v>
      </c>
      <c r="J88" s="12">
        <v>12558</v>
      </c>
      <c r="K88" s="12">
        <f t="shared" si="2"/>
        <v>4910.1779999999999</v>
      </c>
    </row>
    <row r="89" spans="8:11" x14ac:dyDescent="0.3">
      <c r="H89" s="12">
        <v>2005</v>
      </c>
      <c r="I89" s="13">
        <v>0.40200000000000002</v>
      </c>
      <c r="J89" s="12">
        <v>126879</v>
      </c>
      <c r="K89" s="12">
        <f t="shared" si="2"/>
        <v>51005.358</v>
      </c>
    </row>
    <row r="90" spans="8:11" x14ac:dyDescent="0.3">
      <c r="H90" s="12">
        <v>2006</v>
      </c>
      <c r="I90" s="13">
        <v>0.39800000000000002</v>
      </c>
      <c r="J90" s="12">
        <v>142240</v>
      </c>
      <c r="K90" s="12">
        <f t="shared" si="2"/>
        <v>56611.520000000004</v>
      </c>
    </row>
    <row r="91" spans="8:11" x14ac:dyDescent="0.3">
      <c r="H91" s="12">
        <v>2007</v>
      </c>
      <c r="I91" s="13">
        <v>0.40500000000000003</v>
      </c>
      <c r="J91" s="12">
        <v>64755</v>
      </c>
      <c r="K91" s="12">
        <f t="shared" si="2"/>
        <v>26225.775000000001</v>
      </c>
    </row>
    <row r="92" spans="8:11" x14ac:dyDescent="0.3">
      <c r="H92" s="12">
        <v>2008</v>
      </c>
      <c r="I92" s="13">
        <v>0.38600000000000001</v>
      </c>
      <c r="J92" s="12">
        <v>25195</v>
      </c>
      <c r="K92" s="12">
        <f t="shared" si="2"/>
        <v>9725.27</v>
      </c>
    </row>
    <row r="93" spans="8:11" x14ac:dyDescent="0.3">
      <c r="H93" s="12">
        <v>2009</v>
      </c>
      <c r="I93" s="13">
        <v>0.375</v>
      </c>
      <c r="J93" s="12">
        <v>10153</v>
      </c>
      <c r="K93" s="12">
        <f t="shared" si="2"/>
        <v>3807.375</v>
      </c>
    </row>
    <row r="94" spans="8:11" x14ac:dyDescent="0.3">
      <c r="H94" s="12">
        <v>2010</v>
      </c>
      <c r="I94" s="13">
        <v>0.376</v>
      </c>
      <c r="J94" s="12">
        <v>11602</v>
      </c>
      <c r="K94" s="12">
        <f t="shared" si="2"/>
        <v>4362.3519999999999</v>
      </c>
    </row>
    <row r="95" spans="8:11" x14ac:dyDescent="0.3">
      <c r="H95" s="12">
        <v>2005</v>
      </c>
      <c r="I95" s="13">
        <v>0.41299999999999998</v>
      </c>
      <c r="J95" s="12">
        <v>15697</v>
      </c>
      <c r="K95" s="12">
        <f t="shared" si="2"/>
        <v>6482.8609999999999</v>
      </c>
    </row>
    <row r="96" spans="8:11" x14ac:dyDescent="0.3">
      <c r="H96" s="12">
        <v>2006</v>
      </c>
      <c r="I96" s="13">
        <v>0.40699999999999997</v>
      </c>
      <c r="J96" s="12">
        <v>49128</v>
      </c>
      <c r="K96" s="12">
        <f t="shared" si="2"/>
        <v>19995.095999999998</v>
      </c>
    </row>
    <row r="97" spans="8:11" x14ac:dyDescent="0.3">
      <c r="H97" s="12">
        <v>2007</v>
      </c>
      <c r="I97" s="13">
        <v>0.39900000000000002</v>
      </c>
      <c r="J97" s="12">
        <v>58465</v>
      </c>
      <c r="K97" s="12">
        <f t="shared" si="2"/>
        <v>23327.535</v>
      </c>
    </row>
    <row r="98" spans="8:11" x14ac:dyDescent="0.3">
      <c r="H98" s="12">
        <v>2008</v>
      </c>
      <c r="I98" s="13">
        <v>0.41299999999999998</v>
      </c>
      <c r="J98" s="12">
        <v>63176</v>
      </c>
      <c r="K98" s="12">
        <f t="shared" si="2"/>
        <v>26091.687999999998</v>
      </c>
    </row>
    <row r="99" spans="8:11" x14ac:dyDescent="0.3">
      <c r="H99" s="12">
        <v>2009</v>
      </c>
      <c r="I99" s="13">
        <v>0.38700000000000001</v>
      </c>
      <c r="J99" s="12">
        <v>70538</v>
      </c>
      <c r="K99" s="12">
        <f t="shared" si="2"/>
        <v>27298.206000000002</v>
      </c>
    </row>
    <row r="100" spans="8:11" x14ac:dyDescent="0.3">
      <c r="H100" s="12">
        <v>2010</v>
      </c>
      <c r="I100" s="13">
        <v>0.441</v>
      </c>
      <c r="J100" s="12">
        <v>49773</v>
      </c>
      <c r="K100" s="12">
        <f t="shared" si="2"/>
        <v>21949.893</v>
      </c>
    </row>
    <row r="101" spans="8:11" x14ac:dyDescent="0.3">
      <c r="H101" s="5" t="s">
        <v>42</v>
      </c>
      <c r="J101" s="5">
        <f>SUM(J5:J100)</f>
        <v>26540237</v>
      </c>
      <c r="K101" s="12">
        <f>SUM(K5:K100)</f>
        <v>7925607.3620000007</v>
      </c>
    </row>
    <row r="102" spans="8:11" x14ac:dyDescent="0.3">
      <c r="H102" s="5" t="s">
        <v>43</v>
      </c>
      <c r="K102" s="5">
        <f>K101/J101</f>
        <v>0.29862609599153167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13" workbookViewId="0">
      <selection activeCell="C29" sqref="C29"/>
    </sheetView>
  </sheetViews>
  <sheetFormatPr defaultColWidth="9.109375" defaultRowHeight="14.4" x14ac:dyDescent="0.3"/>
  <cols>
    <col min="1" max="1" width="38.33203125" style="14" customWidth="1"/>
    <col min="2" max="2" width="16.33203125" style="14" customWidth="1"/>
    <col min="3" max="5" width="9.109375" style="14"/>
    <col min="6" max="7" width="9.109375" style="14" customWidth="1"/>
    <col min="8" max="9" width="9.109375" style="14"/>
    <col min="10" max="10" width="9" style="14" bestFit="1" customWidth="1"/>
    <col min="11" max="11" width="12" style="14" bestFit="1" customWidth="1"/>
    <col min="12" max="16384" width="9.109375" style="14"/>
  </cols>
  <sheetData>
    <row r="1" spans="1:11" ht="15" x14ac:dyDescent="0.25">
      <c r="A1" s="17" t="s">
        <v>52</v>
      </c>
      <c r="D1" s="23" t="s">
        <v>56</v>
      </c>
    </row>
    <row r="2" spans="1:11" x14ac:dyDescent="0.3">
      <c r="A2" s="17" t="s">
        <v>3</v>
      </c>
    </row>
    <row r="3" spans="1:11" ht="15" x14ac:dyDescent="0.25">
      <c r="A3" s="17" t="s">
        <v>4</v>
      </c>
      <c r="B3" s="14">
        <v>0.19</v>
      </c>
    </row>
    <row r="4" spans="1:11" ht="15" x14ac:dyDescent="0.25">
      <c r="A4" s="17" t="s">
        <v>5</v>
      </c>
      <c r="B4" s="18"/>
      <c r="F4" s="17" t="s">
        <v>2</v>
      </c>
      <c r="G4" s="17" t="s">
        <v>0</v>
      </c>
      <c r="I4" s="14" t="s">
        <v>40</v>
      </c>
      <c r="J4" s="14" t="s">
        <v>1</v>
      </c>
      <c r="K4" s="17" t="s">
        <v>41</v>
      </c>
    </row>
    <row r="5" spans="1:11" x14ac:dyDescent="0.3">
      <c r="A5" s="45" t="s">
        <v>6</v>
      </c>
      <c r="B5" s="46">
        <v>3</v>
      </c>
      <c r="E5" s="16">
        <v>2005</v>
      </c>
      <c r="F5" s="35">
        <v>0.1192</v>
      </c>
      <c r="G5" s="47">
        <v>451285</v>
      </c>
      <c r="H5" s="22">
        <v>2005</v>
      </c>
      <c r="I5" s="28">
        <v>6.0000000000000001E-3</v>
      </c>
      <c r="J5" s="29">
        <v>148723</v>
      </c>
      <c r="K5" s="14">
        <f>J5*I5</f>
        <v>892.33799999999997</v>
      </c>
    </row>
    <row r="6" spans="1:11" x14ac:dyDescent="0.3">
      <c r="A6" s="45" t="s">
        <v>7</v>
      </c>
      <c r="B6" s="46">
        <v>0.2</v>
      </c>
      <c r="C6" s="14">
        <f>1.5*B21</f>
        <v>0.33</v>
      </c>
      <c r="E6" s="16">
        <f>E5+1</f>
        <v>2006</v>
      </c>
      <c r="F6" s="35">
        <v>0.1278</v>
      </c>
      <c r="G6" s="47">
        <v>411781</v>
      </c>
      <c r="H6" s="14">
        <v>2006</v>
      </c>
      <c r="I6" s="28">
        <v>7.0000000000000001E-3</v>
      </c>
      <c r="J6" s="29">
        <v>157060</v>
      </c>
      <c r="K6" s="14">
        <f t="shared" ref="K6:K67" si="0">J6*I6</f>
        <v>1099.42</v>
      </c>
    </row>
    <row r="7" spans="1:11" x14ac:dyDescent="0.3">
      <c r="A7" s="17" t="s">
        <v>8</v>
      </c>
      <c r="B7" s="40">
        <f>F12</f>
        <v>0.1376</v>
      </c>
      <c r="E7" s="16">
        <f t="shared" ref="E7:E10" si="1">E6+1</f>
        <v>2007</v>
      </c>
      <c r="F7" s="35">
        <v>0.1517</v>
      </c>
      <c r="G7" s="47">
        <v>399848</v>
      </c>
      <c r="H7" s="14">
        <v>2007</v>
      </c>
      <c r="I7" s="28">
        <v>6.0000000000000001E-3</v>
      </c>
      <c r="J7" s="29">
        <v>511212</v>
      </c>
      <c r="K7" s="14">
        <f t="shared" si="0"/>
        <v>3067.2719999999999</v>
      </c>
    </row>
    <row r="8" spans="1:11" x14ac:dyDescent="0.3">
      <c r="A8" s="17" t="s">
        <v>9</v>
      </c>
      <c r="B8" s="40">
        <f>F15</f>
        <v>0.12833167573578338</v>
      </c>
      <c r="E8" s="16">
        <f t="shared" si="1"/>
        <v>2008</v>
      </c>
      <c r="F8" s="35">
        <v>0.15429999999999999</v>
      </c>
      <c r="G8" s="47">
        <v>393477</v>
      </c>
      <c r="H8" s="14">
        <v>2008</v>
      </c>
      <c r="I8" s="28">
        <v>8.0000000000000002E-3</v>
      </c>
      <c r="J8" s="29">
        <v>253591</v>
      </c>
      <c r="K8" s="14">
        <f t="shared" si="0"/>
        <v>2028.7280000000001</v>
      </c>
    </row>
    <row r="9" spans="1:11" x14ac:dyDescent="0.3">
      <c r="A9" s="17" t="s">
        <v>10</v>
      </c>
      <c r="B9" s="40">
        <f>F16</f>
        <v>0.14686832426421662</v>
      </c>
      <c r="E9" s="16">
        <f t="shared" si="1"/>
        <v>2009</v>
      </c>
      <c r="F9" s="35">
        <v>0.1401</v>
      </c>
      <c r="G9" s="47">
        <v>487912</v>
      </c>
      <c r="H9" s="14">
        <v>2009</v>
      </c>
      <c r="I9" s="28">
        <v>8.9999999999999993E-3</v>
      </c>
      <c r="J9" s="29">
        <v>267566</v>
      </c>
      <c r="K9" s="14">
        <f t="shared" si="0"/>
        <v>2408.0939999999996</v>
      </c>
    </row>
    <row r="10" spans="1:11" x14ac:dyDescent="0.3">
      <c r="A10" s="17" t="s">
        <v>11</v>
      </c>
      <c r="B10" s="18">
        <f>G12</f>
        <v>472945.57142857142</v>
      </c>
      <c r="E10" s="16">
        <f t="shared" si="1"/>
        <v>2010</v>
      </c>
      <c r="F10" s="35">
        <v>0.1331</v>
      </c>
      <c r="G10" s="47">
        <v>617784</v>
      </c>
      <c r="H10" s="14">
        <v>2010</v>
      </c>
      <c r="I10" s="28">
        <v>8.9999999999999993E-3</v>
      </c>
      <c r="J10" s="29">
        <v>276116</v>
      </c>
      <c r="K10" s="14">
        <f t="shared" si="0"/>
        <v>2485.0439999999999</v>
      </c>
    </row>
    <row r="11" spans="1:11" x14ac:dyDescent="0.3">
      <c r="A11" s="17" t="s">
        <v>12</v>
      </c>
      <c r="B11" s="18">
        <f>G15</f>
        <v>410388.92315633735</v>
      </c>
      <c r="E11" s="14">
        <v>2011</v>
      </c>
      <c r="F11" s="35">
        <v>0.13700000000000001</v>
      </c>
      <c r="G11" s="47">
        <v>548532</v>
      </c>
      <c r="H11" s="14">
        <v>2011</v>
      </c>
      <c r="I11" s="28">
        <v>8.9999999999999993E-3</v>
      </c>
      <c r="J11" s="29">
        <v>215290</v>
      </c>
      <c r="K11" s="14">
        <f t="shared" si="0"/>
        <v>1937.61</v>
      </c>
    </row>
    <row r="12" spans="1:11" ht="15" x14ac:dyDescent="0.25">
      <c r="A12" s="17" t="s">
        <v>13</v>
      </c>
      <c r="B12" s="18">
        <f>G16</f>
        <v>535502.21970080549</v>
      </c>
      <c r="E12" s="14" t="s">
        <v>35</v>
      </c>
      <c r="F12" s="20">
        <f>AVERAGE(F5:F11)</f>
        <v>0.1376</v>
      </c>
      <c r="G12" s="18">
        <f>AVERAGE(G5:G11)</f>
        <v>472945.57142857142</v>
      </c>
      <c r="H12" s="22">
        <v>2005</v>
      </c>
      <c r="I12" s="28">
        <v>1.0999999999999999E-2</v>
      </c>
      <c r="J12" s="29">
        <v>206674</v>
      </c>
      <c r="K12" s="14">
        <f t="shared" si="0"/>
        <v>2273.4139999999998</v>
      </c>
    </row>
    <row r="13" spans="1:11" ht="15" x14ac:dyDescent="0.25">
      <c r="A13" s="17" t="s">
        <v>14</v>
      </c>
      <c r="B13" s="6">
        <v>6</v>
      </c>
      <c r="E13" s="14" t="s">
        <v>36</v>
      </c>
      <c r="F13" s="20">
        <f>STDEV(F5:F11)</f>
        <v>1.2511061772154539E-2</v>
      </c>
      <c r="G13" s="18">
        <f>STDEV(G5:G11)</f>
        <v>84443.537847994769</v>
      </c>
      <c r="H13" s="25">
        <v>2006</v>
      </c>
      <c r="I13" s="28">
        <v>1.2999999999999999E-2</v>
      </c>
      <c r="J13" s="29">
        <v>268432</v>
      </c>
      <c r="K13" s="14">
        <f t="shared" si="0"/>
        <v>3489.616</v>
      </c>
    </row>
    <row r="14" spans="1:11" ht="15" x14ac:dyDescent="0.25">
      <c r="A14" s="17" t="s">
        <v>15</v>
      </c>
      <c r="B14" s="9">
        <f>K69*1000</f>
        <v>24.388710599026854</v>
      </c>
      <c r="E14" s="14" t="s">
        <v>37</v>
      </c>
      <c r="F14" s="20">
        <f>F13/SQRT(COUNT(F5:F11))</f>
        <v>4.7287368694982788E-3</v>
      </c>
      <c r="G14" s="18">
        <f>G13/SQRT(COUNT(G5:G11))</f>
        <v>31916.657281752076</v>
      </c>
      <c r="H14" s="25">
        <v>2007</v>
      </c>
      <c r="I14" s="28">
        <v>1.2999999999999999E-2</v>
      </c>
      <c r="J14" s="29">
        <v>618126</v>
      </c>
      <c r="K14" s="14">
        <f t="shared" si="0"/>
        <v>8035.6379999999999</v>
      </c>
    </row>
    <row r="15" spans="1:11" ht="15" x14ac:dyDescent="0.25">
      <c r="A15" s="17" t="s">
        <v>16</v>
      </c>
      <c r="B15" s="7">
        <f>B7/B6</f>
        <v>0.68799999999999994</v>
      </c>
      <c r="E15" s="14" t="s">
        <v>38</v>
      </c>
      <c r="F15" s="20">
        <f>F12-1.96*F14</f>
        <v>0.12833167573578338</v>
      </c>
      <c r="G15" s="18">
        <f>G12-1.96*G14</f>
        <v>410388.92315633735</v>
      </c>
      <c r="H15" s="25">
        <v>2008</v>
      </c>
      <c r="I15" s="28">
        <v>1.2999999999999999E-2</v>
      </c>
      <c r="J15" s="29">
        <v>826958</v>
      </c>
      <c r="K15" s="14">
        <f t="shared" si="0"/>
        <v>10750.454</v>
      </c>
    </row>
    <row r="16" spans="1:11" ht="15" x14ac:dyDescent="0.25">
      <c r="A16" s="17" t="s">
        <v>65</v>
      </c>
      <c r="B16" s="40">
        <f>B7/B3</f>
        <v>0.72421052631578942</v>
      </c>
      <c r="E16" s="14" t="s">
        <v>39</v>
      </c>
      <c r="F16" s="20">
        <f>F12+1.96*F14</f>
        <v>0.14686832426421662</v>
      </c>
      <c r="G16" s="18">
        <f>G12+1.96*G14</f>
        <v>535502.21970080549</v>
      </c>
      <c r="H16" s="25">
        <v>2009</v>
      </c>
      <c r="I16" s="28">
        <v>1.6E-2</v>
      </c>
      <c r="J16" s="29">
        <v>445816</v>
      </c>
      <c r="K16" s="14">
        <f t="shared" si="0"/>
        <v>7133.0560000000005</v>
      </c>
    </row>
    <row r="17" spans="1:11" ht="15" x14ac:dyDescent="0.25">
      <c r="A17" s="17" t="s">
        <v>17</v>
      </c>
      <c r="H17" s="25">
        <v>2010</v>
      </c>
      <c r="I17" s="28">
        <v>1.6E-2</v>
      </c>
      <c r="J17" s="29">
        <v>798215</v>
      </c>
      <c r="K17" s="14">
        <f t="shared" si="0"/>
        <v>12771.44</v>
      </c>
    </row>
    <row r="18" spans="1:11" ht="15" x14ac:dyDescent="0.25">
      <c r="A18" s="17" t="s">
        <v>18</v>
      </c>
      <c r="B18" s="14">
        <v>1.21E-2</v>
      </c>
      <c r="H18" s="25">
        <v>2011</v>
      </c>
      <c r="I18" s="28">
        <v>1.4999999999999999E-2</v>
      </c>
      <c r="J18" s="29">
        <v>578126</v>
      </c>
      <c r="K18" s="14">
        <f t="shared" si="0"/>
        <v>8671.89</v>
      </c>
    </row>
    <row r="19" spans="1:11" ht="15" x14ac:dyDescent="0.25">
      <c r="A19" s="17" t="s">
        <v>19</v>
      </c>
      <c r="B19" s="14">
        <v>2.778</v>
      </c>
      <c r="H19" s="22">
        <v>2005</v>
      </c>
      <c r="I19" s="28">
        <v>1.7999999999999999E-2</v>
      </c>
      <c r="J19" s="29">
        <v>1134904</v>
      </c>
      <c r="K19" s="14">
        <f t="shared" si="0"/>
        <v>20428.271999999997</v>
      </c>
    </row>
    <row r="20" spans="1:11" ht="15" x14ac:dyDescent="0.25">
      <c r="A20" s="17" t="s">
        <v>20</v>
      </c>
      <c r="B20" s="14">
        <v>23.7</v>
      </c>
      <c r="H20" s="25">
        <v>2006</v>
      </c>
      <c r="I20" s="28">
        <v>1.7999999999999999E-2</v>
      </c>
      <c r="J20" s="29">
        <v>120334</v>
      </c>
      <c r="K20" s="14">
        <f t="shared" si="0"/>
        <v>2166.0119999999997</v>
      </c>
    </row>
    <row r="21" spans="1:11" ht="15" x14ac:dyDescent="0.25">
      <c r="A21" s="17" t="s">
        <v>21</v>
      </c>
      <c r="B21" s="14">
        <v>0.22</v>
      </c>
      <c r="H21" s="25">
        <v>2007</v>
      </c>
      <c r="I21" s="28">
        <v>0.02</v>
      </c>
      <c r="J21" s="29">
        <v>341113</v>
      </c>
      <c r="K21" s="14">
        <f t="shared" si="0"/>
        <v>6822.26</v>
      </c>
    </row>
    <row r="22" spans="1:11" ht="15" x14ac:dyDescent="0.25">
      <c r="A22" s="17" t="s">
        <v>22</v>
      </c>
      <c r="B22" s="14">
        <v>-2.25</v>
      </c>
      <c r="H22" s="25">
        <v>2008</v>
      </c>
      <c r="I22" s="28">
        <v>1.9E-2</v>
      </c>
      <c r="J22" s="29">
        <v>309179</v>
      </c>
      <c r="K22" s="14">
        <f t="shared" si="0"/>
        <v>5874.4009999999998</v>
      </c>
    </row>
    <row r="23" spans="1:11" ht="15" x14ac:dyDescent="0.25">
      <c r="A23" s="17"/>
      <c r="H23" s="25">
        <v>2009</v>
      </c>
      <c r="I23" s="28">
        <v>2.1000000000000001E-2</v>
      </c>
      <c r="J23" s="29">
        <v>538329</v>
      </c>
      <c r="K23" s="14">
        <f t="shared" si="0"/>
        <v>11304.909000000001</v>
      </c>
    </row>
    <row r="24" spans="1:11" x14ac:dyDescent="0.3">
      <c r="A24" s="17" t="s">
        <v>23</v>
      </c>
      <c r="H24" s="25">
        <v>2010</v>
      </c>
      <c r="I24" s="28">
        <v>2.1000000000000001E-2</v>
      </c>
      <c r="J24" s="29">
        <v>464788</v>
      </c>
      <c r="K24" s="14">
        <f t="shared" si="0"/>
        <v>9760.5480000000007</v>
      </c>
    </row>
    <row r="25" spans="1:11" x14ac:dyDescent="0.3">
      <c r="A25" s="17" t="s">
        <v>24</v>
      </c>
      <c r="B25" s="7">
        <f>B20*(1-EXP(-B21*(B5-B22)))</f>
        <v>16.233136375389105</v>
      </c>
      <c r="H25" s="25">
        <v>2011</v>
      </c>
      <c r="I25" s="28">
        <v>2.1999999999999999E-2</v>
      </c>
      <c r="J25" s="29">
        <v>564038</v>
      </c>
      <c r="K25" s="14">
        <f t="shared" si="0"/>
        <v>12408.835999999999</v>
      </c>
    </row>
    <row r="26" spans="1:11" x14ac:dyDescent="0.3">
      <c r="A26" s="17" t="s">
        <v>25</v>
      </c>
      <c r="B26" s="7">
        <f>B20*3/(3+B6/B21)</f>
        <v>18.188372093023254</v>
      </c>
      <c r="C26" s="7">
        <f>2/3*B20</f>
        <v>15.799999999999999</v>
      </c>
      <c r="H26" s="22">
        <v>2005</v>
      </c>
      <c r="I26" s="28">
        <v>2.3E-2</v>
      </c>
      <c r="J26" s="29">
        <v>293866</v>
      </c>
      <c r="K26" s="14">
        <f t="shared" si="0"/>
        <v>6758.9179999999997</v>
      </c>
    </row>
    <row r="27" spans="1:11" x14ac:dyDescent="0.3">
      <c r="A27" s="17" t="s">
        <v>26</v>
      </c>
      <c r="B27" s="7">
        <f>(B13/B18)^(1/B19)</f>
        <v>9.3380048787367969</v>
      </c>
      <c r="H27" s="25">
        <v>2006</v>
      </c>
      <c r="I27" s="28">
        <v>2.1999999999999999E-2</v>
      </c>
      <c r="J27" s="29">
        <v>1024498</v>
      </c>
      <c r="K27" s="14">
        <f t="shared" si="0"/>
        <v>22538.955999999998</v>
      </c>
    </row>
    <row r="28" spans="1:11" x14ac:dyDescent="0.3">
      <c r="A28" s="17" t="s">
        <v>27</v>
      </c>
      <c r="B28" s="7">
        <f>(B14/B18)^(1/B19)</f>
        <v>15.469992031249113</v>
      </c>
      <c r="H28" s="25">
        <v>2007</v>
      </c>
      <c r="I28" s="28">
        <v>2.1999999999999999E-2</v>
      </c>
      <c r="J28" s="29">
        <v>154968</v>
      </c>
      <c r="K28" s="14">
        <f t="shared" si="0"/>
        <v>3409.2959999999998</v>
      </c>
    </row>
    <row r="29" spans="1:11" x14ac:dyDescent="0.3">
      <c r="A29" s="17" t="s">
        <v>28</v>
      </c>
      <c r="B29" s="7">
        <f>(B20*B21+2*B27*B6)/(B21+2*B6)</f>
        <v>14.434196695959223</v>
      </c>
      <c r="C29" s="65">
        <f>(3*B27+B20)/4</f>
        <v>12.928503659052598</v>
      </c>
      <c r="H29" s="25">
        <v>2008</v>
      </c>
      <c r="I29" s="28">
        <v>2.1000000000000001E-2</v>
      </c>
      <c r="J29" s="29">
        <v>308193</v>
      </c>
      <c r="K29" s="14">
        <f t="shared" si="0"/>
        <v>6472.0530000000008</v>
      </c>
    </row>
    <row r="30" spans="1:11" x14ac:dyDescent="0.3">
      <c r="A30" s="17"/>
      <c r="H30" s="25">
        <v>2009</v>
      </c>
      <c r="I30" s="28">
        <v>2.3E-2</v>
      </c>
      <c r="J30" s="29">
        <v>395147</v>
      </c>
      <c r="K30" s="14">
        <f t="shared" si="0"/>
        <v>9088.3809999999994</v>
      </c>
    </row>
    <row r="31" spans="1:11" x14ac:dyDescent="0.3">
      <c r="A31" s="17"/>
      <c r="H31" s="25">
        <v>2010</v>
      </c>
      <c r="I31" s="28">
        <v>2.5999999999999999E-2</v>
      </c>
      <c r="J31" s="29">
        <v>378529</v>
      </c>
      <c r="K31" s="14">
        <f t="shared" si="0"/>
        <v>9841.753999999999</v>
      </c>
    </row>
    <row r="32" spans="1:11" x14ac:dyDescent="0.3">
      <c r="A32" s="17" t="s">
        <v>29</v>
      </c>
      <c r="H32" s="25">
        <v>2011</v>
      </c>
      <c r="I32" s="28">
        <v>2.5000000000000001E-2</v>
      </c>
      <c r="J32" s="29">
        <v>368440</v>
      </c>
      <c r="K32" s="14">
        <f t="shared" si="0"/>
        <v>9211</v>
      </c>
    </row>
    <row r="33" spans="1:11" x14ac:dyDescent="0.3">
      <c r="A33" s="17" t="s">
        <v>30</v>
      </c>
      <c r="H33" s="22">
        <v>2005</v>
      </c>
      <c r="I33" s="28">
        <v>2.9000000000000001E-2</v>
      </c>
      <c r="J33" s="29">
        <v>167029</v>
      </c>
      <c r="K33" s="14">
        <f t="shared" si="0"/>
        <v>4843.8410000000003</v>
      </c>
    </row>
    <row r="34" spans="1:11" x14ac:dyDescent="0.3">
      <c r="A34" s="17" t="s">
        <v>31</v>
      </c>
      <c r="B34" s="20">
        <f>B21*(B28-B20)/(B27-B28)-B6</f>
        <v>9.5271615561584977E-2</v>
      </c>
      <c r="H34" s="25">
        <v>2006</v>
      </c>
      <c r="I34" s="28">
        <v>2.7E-2</v>
      </c>
      <c r="J34" s="29">
        <v>368522</v>
      </c>
      <c r="K34" s="14">
        <f t="shared" si="0"/>
        <v>9950.0939999999991</v>
      </c>
    </row>
    <row r="35" spans="1:11" x14ac:dyDescent="0.3">
      <c r="A35" s="17" t="s">
        <v>16</v>
      </c>
      <c r="B35" s="20">
        <f>B21/B6*(B28-B20)/(B27-B28)-1</f>
        <v>0.47635807780792483</v>
      </c>
      <c r="H35" s="25">
        <v>2007</v>
      </c>
      <c r="I35" s="28">
        <v>2.5999999999999999E-2</v>
      </c>
      <c r="J35" s="29">
        <v>994014</v>
      </c>
      <c r="K35" s="14">
        <f t="shared" si="0"/>
        <v>25844.363999999998</v>
      </c>
    </row>
    <row r="36" spans="1:11" x14ac:dyDescent="0.3">
      <c r="A36" s="17" t="s">
        <v>32</v>
      </c>
      <c r="B36" s="20">
        <f>ABS(2*(B28-B20)/(3*(B27-B28))-1)</f>
        <v>0.10523752860125757</v>
      </c>
      <c r="H36" s="25">
        <v>2008</v>
      </c>
      <c r="I36" s="28">
        <v>2.9000000000000001E-2</v>
      </c>
      <c r="J36" s="29">
        <v>213115</v>
      </c>
      <c r="K36" s="14">
        <f t="shared" si="0"/>
        <v>6180.335</v>
      </c>
    </row>
    <row r="37" spans="1:11" x14ac:dyDescent="0.3">
      <c r="A37" s="17" t="s">
        <v>33</v>
      </c>
      <c r="B37" s="7">
        <f>(3*B27+B20)/4</f>
        <v>12.928503659052598</v>
      </c>
      <c r="H37" s="25">
        <v>2009</v>
      </c>
      <c r="I37" s="28">
        <v>0.03</v>
      </c>
      <c r="J37" s="29">
        <v>126558</v>
      </c>
      <c r="K37" s="14">
        <f t="shared" si="0"/>
        <v>3796.74</v>
      </c>
    </row>
    <row r="38" spans="1:11" x14ac:dyDescent="0.3">
      <c r="H38" s="25">
        <v>2010</v>
      </c>
      <c r="I38" s="28">
        <v>2.8000000000000001E-2</v>
      </c>
      <c r="J38" s="29">
        <v>271358</v>
      </c>
      <c r="K38" s="14">
        <f t="shared" si="0"/>
        <v>7598.0240000000003</v>
      </c>
    </row>
    <row r="39" spans="1:11" x14ac:dyDescent="0.3">
      <c r="H39" s="25">
        <v>2011</v>
      </c>
      <c r="I39" s="28">
        <v>2.7E-2</v>
      </c>
      <c r="J39" s="29">
        <v>344526</v>
      </c>
      <c r="K39" s="14">
        <f t="shared" si="0"/>
        <v>9302.2019999999993</v>
      </c>
    </row>
    <row r="40" spans="1:11" x14ac:dyDescent="0.3">
      <c r="H40" s="22">
        <v>2005</v>
      </c>
      <c r="I40" s="28">
        <v>2.9000000000000001E-2</v>
      </c>
      <c r="J40" s="29">
        <v>140499</v>
      </c>
      <c r="K40" s="14">
        <f t="shared" si="0"/>
        <v>4074.471</v>
      </c>
    </row>
    <row r="41" spans="1:11" x14ac:dyDescent="0.3">
      <c r="H41" s="25">
        <v>2006</v>
      </c>
      <c r="I41" s="28">
        <v>3.2000000000000001E-2</v>
      </c>
      <c r="J41" s="29">
        <v>154222</v>
      </c>
      <c r="K41" s="14">
        <f t="shared" si="0"/>
        <v>4935.1040000000003</v>
      </c>
    </row>
    <row r="42" spans="1:11" x14ac:dyDescent="0.3">
      <c r="H42" s="25">
        <v>2007</v>
      </c>
      <c r="I42" s="28">
        <v>2.9000000000000001E-2</v>
      </c>
      <c r="J42" s="29">
        <v>266382</v>
      </c>
      <c r="K42" s="14">
        <f t="shared" si="0"/>
        <v>7725.0780000000004</v>
      </c>
    </row>
    <row r="43" spans="1:11" x14ac:dyDescent="0.3">
      <c r="H43" s="25">
        <v>2008</v>
      </c>
      <c r="I43" s="28">
        <v>2.8000000000000001E-2</v>
      </c>
      <c r="J43" s="29">
        <v>393131</v>
      </c>
      <c r="K43" s="14">
        <f t="shared" si="0"/>
        <v>11007.668</v>
      </c>
    </row>
    <row r="44" spans="1:11" x14ac:dyDescent="0.3">
      <c r="H44" s="25">
        <v>2009</v>
      </c>
      <c r="I44" s="28">
        <v>3.2000000000000001E-2</v>
      </c>
      <c r="J44" s="29">
        <v>128821</v>
      </c>
      <c r="K44" s="14">
        <f t="shared" si="0"/>
        <v>4122.2719999999999</v>
      </c>
    </row>
    <row r="45" spans="1:11" x14ac:dyDescent="0.3">
      <c r="H45" s="25">
        <v>2010</v>
      </c>
      <c r="I45" s="28">
        <v>3.5999999999999997E-2</v>
      </c>
      <c r="J45" s="29">
        <v>101969</v>
      </c>
      <c r="K45" s="14">
        <f t="shared" si="0"/>
        <v>3670.8839999999996</v>
      </c>
    </row>
    <row r="46" spans="1:11" x14ac:dyDescent="0.3">
      <c r="H46" s="25">
        <v>2011</v>
      </c>
      <c r="I46" s="28">
        <v>2.9000000000000001E-2</v>
      </c>
      <c r="J46" s="29">
        <v>168623</v>
      </c>
      <c r="K46" s="14">
        <f t="shared" si="0"/>
        <v>4890.067</v>
      </c>
    </row>
    <row r="47" spans="1:11" x14ac:dyDescent="0.3">
      <c r="H47" s="22">
        <v>2005</v>
      </c>
      <c r="I47" s="28">
        <v>3.9E-2</v>
      </c>
      <c r="J47" s="29">
        <v>81473</v>
      </c>
      <c r="K47" s="14">
        <f t="shared" si="0"/>
        <v>3177.4470000000001</v>
      </c>
    </row>
    <row r="48" spans="1:11" x14ac:dyDescent="0.3">
      <c r="H48" s="27">
        <v>2006</v>
      </c>
      <c r="I48" s="28">
        <v>3.6999999999999998E-2</v>
      </c>
      <c r="J48" s="29">
        <v>84624</v>
      </c>
      <c r="K48" s="14">
        <f t="shared" si="0"/>
        <v>3131.0879999999997</v>
      </c>
    </row>
    <row r="49" spans="8:11" x14ac:dyDescent="0.3">
      <c r="H49" s="27">
        <v>2007</v>
      </c>
      <c r="I49" s="28">
        <v>3.4000000000000002E-2</v>
      </c>
      <c r="J49" s="29">
        <v>88943</v>
      </c>
      <c r="K49" s="14">
        <f t="shared" si="0"/>
        <v>3024.0620000000004</v>
      </c>
    </row>
    <row r="50" spans="8:11" x14ac:dyDescent="0.3">
      <c r="H50" s="27">
        <v>2008</v>
      </c>
      <c r="I50" s="28">
        <v>3.1E-2</v>
      </c>
      <c r="J50" s="29">
        <v>181107</v>
      </c>
      <c r="K50" s="14">
        <f t="shared" si="0"/>
        <v>5614.317</v>
      </c>
    </row>
    <row r="51" spans="8:11" x14ac:dyDescent="0.3">
      <c r="H51" s="27">
        <v>2009</v>
      </c>
      <c r="I51" s="28">
        <v>3.5000000000000003E-2</v>
      </c>
      <c r="J51" s="29">
        <v>343300</v>
      </c>
      <c r="K51" s="14">
        <f t="shared" si="0"/>
        <v>12015.500000000002</v>
      </c>
    </row>
    <row r="52" spans="8:11" x14ac:dyDescent="0.3">
      <c r="H52" s="27">
        <v>2010</v>
      </c>
      <c r="I52" s="28">
        <v>3.4000000000000002E-2</v>
      </c>
      <c r="J52" s="29">
        <v>79992</v>
      </c>
      <c r="K52" s="14">
        <f t="shared" si="0"/>
        <v>2719.7280000000001</v>
      </c>
    </row>
    <row r="53" spans="8:11" x14ac:dyDescent="0.3">
      <c r="H53" s="27">
        <v>2011</v>
      </c>
      <c r="I53" s="28">
        <v>3.1E-2</v>
      </c>
      <c r="J53" s="29">
        <v>87156</v>
      </c>
      <c r="K53" s="14">
        <f t="shared" si="0"/>
        <v>2701.8359999999998</v>
      </c>
    </row>
    <row r="54" spans="8:11" x14ac:dyDescent="0.3">
      <c r="H54" s="22">
        <v>2005</v>
      </c>
      <c r="I54" s="28">
        <v>3.9E-2</v>
      </c>
      <c r="J54" s="29">
        <v>92785</v>
      </c>
      <c r="K54" s="14">
        <f t="shared" si="0"/>
        <v>3618.6149999999998</v>
      </c>
    </row>
    <row r="55" spans="8:11" x14ac:dyDescent="0.3">
      <c r="H55" s="27">
        <v>2006</v>
      </c>
      <c r="I55" s="28">
        <v>0.04</v>
      </c>
      <c r="J55" s="29">
        <v>126683</v>
      </c>
      <c r="K55" s="14">
        <f t="shared" si="0"/>
        <v>5067.32</v>
      </c>
    </row>
    <row r="56" spans="8:11" x14ac:dyDescent="0.3">
      <c r="H56" s="27">
        <v>2007</v>
      </c>
      <c r="I56" s="28">
        <v>3.5999999999999997E-2</v>
      </c>
      <c r="J56" s="29">
        <v>119783</v>
      </c>
      <c r="K56" s="14">
        <f t="shared" si="0"/>
        <v>4312.1880000000001</v>
      </c>
    </row>
    <row r="57" spans="8:11" x14ac:dyDescent="0.3">
      <c r="H57" s="27">
        <v>2008</v>
      </c>
      <c r="I57" s="28">
        <v>3.7999999999999999E-2</v>
      </c>
      <c r="J57" s="29">
        <v>124166</v>
      </c>
      <c r="K57" s="14">
        <f t="shared" si="0"/>
        <v>4718.308</v>
      </c>
    </row>
    <row r="58" spans="8:11" x14ac:dyDescent="0.3">
      <c r="H58" s="27">
        <v>2009</v>
      </c>
      <c r="I58" s="28">
        <v>3.7999999999999999E-2</v>
      </c>
      <c r="J58" s="29">
        <v>174103</v>
      </c>
      <c r="K58" s="14">
        <f t="shared" si="0"/>
        <v>6615.9139999999998</v>
      </c>
    </row>
    <row r="59" spans="8:11" x14ac:dyDescent="0.3">
      <c r="H59" s="27">
        <v>2010</v>
      </c>
      <c r="I59" s="28">
        <v>3.7999999999999999E-2</v>
      </c>
      <c r="J59" s="29">
        <v>227567</v>
      </c>
      <c r="K59" s="14">
        <f t="shared" si="0"/>
        <v>8647.5460000000003</v>
      </c>
    </row>
    <row r="60" spans="8:11" x14ac:dyDescent="0.3">
      <c r="H60" s="27">
        <v>2011</v>
      </c>
      <c r="I60" s="28">
        <v>3.6999999999999998E-2</v>
      </c>
      <c r="J60" s="29">
        <v>79590</v>
      </c>
      <c r="K60" s="14">
        <f t="shared" si="0"/>
        <v>2944.83</v>
      </c>
    </row>
    <row r="61" spans="8:11" x14ac:dyDescent="0.3">
      <c r="H61" s="22">
        <v>2005</v>
      </c>
      <c r="I61" s="28">
        <v>0.05</v>
      </c>
      <c r="J61" s="29">
        <v>235926</v>
      </c>
      <c r="K61" s="14">
        <f t="shared" si="0"/>
        <v>11796.300000000001</v>
      </c>
    </row>
    <row r="62" spans="8:11" x14ac:dyDescent="0.3">
      <c r="H62" s="27">
        <v>2006</v>
      </c>
      <c r="I62" s="28">
        <v>0.05</v>
      </c>
      <c r="J62" s="29">
        <v>317097</v>
      </c>
      <c r="K62" s="14">
        <f t="shared" si="0"/>
        <v>15854.85</v>
      </c>
    </row>
    <row r="63" spans="8:11" x14ac:dyDescent="0.3">
      <c r="H63" s="27">
        <v>2007</v>
      </c>
      <c r="I63" s="28">
        <v>4.9000000000000002E-2</v>
      </c>
      <c r="J63" s="29">
        <v>265191</v>
      </c>
      <c r="K63" s="14">
        <f t="shared" si="0"/>
        <v>12994.359</v>
      </c>
    </row>
    <row r="64" spans="8:11" x14ac:dyDescent="0.3">
      <c r="H64" s="27">
        <v>2008</v>
      </c>
      <c r="I64" s="28">
        <v>4.7E-2</v>
      </c>
      <c r="J64" s="29">
        <v>264066</v>
      </c>
      <c r="K64" s="14">
        <f t="shared" si="0"/>
        <v>12411.102000000001</v>
      </c>
    </row>
    <row r="65" spans="8:11" x14ac:dyDescent="0.3">
      <c r="H65" s="27">
        <v>2009</v>
      </c>
      <c r="I65" s="28">
        <v>5.1999999999999998E-2</v>
      </c>
      <c r="J65" s="29">
        <v>234577</v>
      </c>
      <c r="K65" s="14">
        <f t="shared" si="0"/>
        <v>12198.003999999999</v>
      </c>
    </row>
    <row r="66" spans="8:11" x14ac:dyDescent="0.3">
      <c r="H66" s="27">
        <v>2010</v>
      </c>
      <c r="I66" s="28">
        <v>5.0999999999999997E-2</v>
      </c>
      <c r="J66" s="29">
        <v>250903</v>
      </c>
      <c r="K66" s="14">
        <f t="shared" si="0"/>
        <v>12796.053</v>
      </c>
    </row>
    <row r="67" spans="8:11" x14ac:dyDescent="0.3">
      <c r="H67" s="27">
        <v>2011</v>
      </c>
      <c r="I67" s="28">
        <v>4.7E-2</v>
      </c>
      <c r="J67" s="29">
        <v>550325</v>
      </c>
      <c r="K67" s="14">
        <f t="shared" si="0"/>
        <v>25865.275000000001</v>
      </c>
    </row>
    <row r="68" spans="8:11" x14ac:dyDescent="0.3">
      <c r="H68" s="14" t="s">
        <v>42</v>
      </c>
      <c r="J68" s="14">
        <f>SUM(J5:J67)</f>
        <v>19816357</v>
      </c>
      <c r="K68" s="14">
        <f>SUM(K5:K67)</f>
        <v>483295.39600000001</v>
      </c>
    </row>
    <row r="69" spans="8:11" x14ac:dyDescent="0.3">
      <c r="H69" s="14" t="s">
        <v>43</v>
      </c>
      <c r="K69" s="14">
        <f>K68/J68</f>
        <v>2.4388710599026853E-2</v>
      </c>
    </row>
    <row r="70" spans="8:11" x14ac:dyDescent="0.3">
      <c r="I70" s="15"/>
    </row>
    <row r="71" spans="8:11" x14ac:dyDescent="0.3">
      <c r="I71" s="15"/>
    </row>
    <row r="72" spans="8:11" x14ac:dyDescent="0.3">
      <c r="I72" s="15"/>
    </row>
    <row r="73" spans="8:11" x14ac:dyDescent="0.3">
      <c r="I73" s="15"/>
    </row>
    <row r="74" spans="8:11" x14ac:dyDescent="0.3">
      <c r="I74" s="15"/>
    </row>
    <row r="75" spans="8:11" x14ac:dyDescent="0.3">
      <c r="I75" s="15"/>
    </row>
    <row r="76" spans="8:11" x14ac:dyDescent="0.3">
      <c r="I76" s="15"/>
    </row>
    <row r="77" spans="8:11" x14ac:dyDescent="0.3">
      <c r="I77" s="15"/>
    </row>
    <row r="78" spans="8:11" x14ac:dyDescent="0.3">
      <c r="I78" s="15"/>
    </row>
    <row r="79" spans="8:11" x14ac:dyDescent="0.3">
      <c r="I79" s="15"/>
    </row>
    <row r="80" spans="8:11" x14ac:dyDescent="0.3">
      <c r="I80" s="15"/>
    </row>
    <row r="81" spans="9:9" x14ac:dyDescent="0.3">
      <c r="I81" s="15"/>
    </row>
    <row r="82" spans="9:9" x14ac:dyDescent="0.3">
      <c r="I82" s="15"/>
    </row>
    <row r="83" spans="9:9" x14ac:dyDescent="0.3">
      <c r="I83" s="15"/>
    </row>
    <row r="84" spans="9:9" x14ac:dyDescent="0.3">
      <c r="I84" s="15"/>
    </row>
    <row r="85" spans="9:9" x14ac:dyDescent="0.3">
      <c r="I85" s="15"/>
    </row>
    <row r="86" spans="9:9" x14ac:dyDescent="0.3">
      <c r="I86" s="15"/>
    </row>
    <row r="87" spans="9:9" x14ac:dyDescent="0.3">
      <c r="I87" s="15"/>
    </row>
    <row r="88" spans="9:9" x14ac:dyDescent="0.3">
      <c r="I88" s="15"/>
    </row>
    <row r="89" spans="9:9" x14ac:dyDescent="0.3">
      <c r="I89" s="15"/>
    </row>
    <row r="90" spans="9:9" x14ac:dyDescent="0.3">
      <c r="I90" s="15"/>
    </row>
    <row r="91" spans="9:9" x14ac:dyDescent="0.3">
      <c r="I91" s="15"/>
    </row>
    <row r="92" spans="9:9" x14ac:dyDescent="0.3">
      <c r="I92" s="15"/>
    </row>
    <row r="93" spans="9:9" x14ac:dyDescent="0.3">
      <c r="I93" s="15"/>
    </row>
    <row r="94" spans="9:9" x14ac:dyDescent="0.3">
      <c r="I94" s="15"/>
    </row>
    <row r="95" spans="9:9" x14ac:dyDescent="0.3">
      <c r="I95" s="15"/>
    </row>
    <row r="96" spans="9:9" x14ac:dyDescent="0.3">
      <c r="I96" s="15"/>
    </row>
    <row r="97" spans="9:9" x14ac:dyDescent="0.3">
      <c r="I97" s="15"/>
    </row>
    <row r="98" spans="9:9" x14ac:dyDescent="0.3">
      <c r="I98" s="15"/>
    </row>
    <row r="99" spans="9:9" x14ac:dyDescent="0.3">
      <c r="I99" s="15"/>
    </row>
    <row r="100" spans="9:9" x14ac:dyDescent="0.3">
      <c r="I100" s="15"/>
    </row>
  </sheetData>
  <hyperlinks>
    <hyperlink ref="D1" r:id="rId1" display="http://www.ices.dk/reports/ACOM/2012/WGBFAS/Sec 06.4 Herrring in Subdivision 30.pdf"/>
  </hyperlinks>
  <pageMargins left="0.7" right="0.7" top="0.75" bottom="0.75" header="0.3" footer="0.3"/>
  <pageSetup paperSize="9" orientation="portrait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10" workbookViewId="0">
      <selection activeCell="B15" sqref="B15"/>
    </sheetView>
  </sheetViews>
  <sheetFormatPr defaultColWidth="9.109375" defaultRowHeight="14.4" x14ac:dyDescent="0.3"/>
  <cols>
    <col min="1" max="1" width="38.33203125" style="30" customWidth="1"/>
    <col min="2" max="2" width="16.33203125" style="30" customWidth="1"/>
    <col min="3" max="5" width="9.109375" style="30"/>
    <col min="6" max="7" width="9.109375" style="30" customWidth="1"/>
    <col min="8" max="9" width="9.109375" style="30"/>
    <col min="10" max="10" width="9" style="30" bestFit="1" customWidth="1"/>
    <col min="11" max="11" width="12" style="30" bestFit="1" customWidth="1"/>
    <col min="12" max="16384" width="9.109375" style="30"/>
  </cols>
  <sheetData>
    <row r="1" spans="1:11" x14ac:dyDescent="0.3">
      <c r="A1" s="33" t="s">
        <v>51</v>
      </c>
      <c r="C1" s="30" t="s">
        <v>54</v>
      </c>
    </row>
    <row r="2" spans="1:11" x14ac:dyDescent="0.3">
      <c r="A2" s="33" t="s">
        <v>3</v>
      </c>
      <c r="C2" s="30" t="s">
        <v>53</v>
      </c>
    </row>
    <row r="3" spans="1:11" ht="15" x14ac:dyDescent="0.25">
      <c r="A3" s="33" t="s">
        <v>4</v>
      </c>
      <c r="B3" s="30" t="s">
        <v>55</v>
      </c>
    </row>
    <row r="4" spans="1:11" ht="15" x14ac:dyDescent="0.25">
      <c r="A4" s="33" t="s">
        <v>5</v>
      </c>
      <c r="B4" s="34" t="s">
        <v>55</v>
      </c>
      <c r="F4" s="33" t="s">
        <v>2</v>
      </c>
      <c r="G4" s="33" t="s">
        <v>0</v>
      </c>
      <c r="I4" s="30" t="s">
        <v>40</v>
      </c>
      <c r="J4" s="30" t="s">
        <v>1</v>
      </c>
      <c r="K4" s="33" t="s">
        <v>41</v>
      </c>
    </row>
    <row r="5" spans="1:11" x14ac:dyDescent="0.3">
      <c r="A5" s="45" t="s">
        <v>6</v>
      </c>
      <c r="B5" s="46">
        <v>3</v>
      </c>
      <c r="E5" s="32">
        <v>2005</v>
      </c>
      <c r="F5" s="35">
        <v>0.3921</v>
      </c>
      <c r="G5" s="35">
        <v>13416</v>
      </c>
      <c r="H5" s="22">
        <v>2005</v>
      </c>
      <c r="I5" s="31">
        <v>10.9</v>
      </c>
      <c r="J5" s="30">
        <v>23442</v>
      </c>
      <c r="K5" s="30">
        <f>J5*I5</f>
        <v>255517.80000000002</v>
      </c>
    </row>
    <row r="6" spans="1:11" x14ac:dyDescent="0.3">
      <c r="A6" s="45" t="s">
        <v>7</v>
      </c>
      <c r="B6" s="46">
        <v>0.15</v>
      </c>
      <c r="E6" s="32">
        <f>E5+1</f>
        <v>2006</v>
      </c>
      <c r="F6" s="35">
        <v>0.2596</v>
      </c>
      <c r="G6" s="35">
        <v>10509</v>
      </c>
      <c r="H6" s="30">
        <v>2006</v>
      </c>
      <c r="I6" s="31">
        <v>10.5</v>
      </c>
      <c r="J6" s="30">
        <v>19532</v>
      </c>
      <c r="K6" s="30">
        <f t="shared" ref="K6:K67" si="0">J6*I6</f>
        <v>205086</v>
      </c>
    </row>
    <row r="7" spans="1:11" ht="15" x14ac:dyDescent="0.25">
      <c r="A7" s="33" t="s">
        <v>8</v>
      </c>
      <c r="B7" s="40">
        <f>F12</f>
        <v>0.29932857142857144</v>
      </c>
      <c r="E7" s="32">
        <f t="shared" ref="E7:E10" si="1">E6+1</f>
        <v>2007</v>
      </c>
      <c r="F7" s="35">
        <v>0.30759999999999998</v>
      </c>
      <c r="G7" s="35">
        <v>10161</v>
      </c>
      <c r="H7" s="30">
        <v>2007</v>
      </c>
      <c r="I7" s="31">
        <v>8</v>
      </c>
      <c r="J7" s="30">
        <v>41635</v>
      </c>
      <c r="K7" s="30">
        <f t="shared" si="0"/>
        <v>333080</v>
      </c>
    </row>
    <row r="8" spans="1:11" ht="15" x14ac:dyDescent="0.25">
      <c r="A8" s="33" t="s">
        <v>9</v>
      </c>
      <c r="B8" s="40">
        <f>F15</f>
        <v>0.25731785812827135</v>
      </c>
      <c r="E8" s="32">
        <f t="shared" si="1"/>
        <v>2008</v>
      </c>
      <c r="F8" s="35">
        <v>0.25750000000000001</v>
      </c>
      <c r="G8" s="35">
        <v>7899</v>
      </c>
      <c r="H8" s="30">
        <v>2008</v>
      </c>
      <c r="I8" s="31">
        <v>11</v>
      </c>
      <c r="J8" s="30">
        <v>12843</v>
      </c>
      <c r="K8" s="30">
        <f t="shared" si="0"/>
        <v>141273</v>
      </c>
    </row>
    <row r="9" spans="1:11" ht="15" x14ac:dyDescent="0.25">
      <c r="A9" s="33" t="s">
        <v>10</v>
      </c>
      <c r="B9" s="40">
        <f>F16</f>
        <v>0.34133928472887154</v>
      </c>
      <c r="E9" s="32">
        <f t="shared" si="1"/>
        <v>2009</v>
      </c>
      <c r="F9" s="35">
        <v>0.2802</v>
      </c>
      <c r="G9" s="35">
        <v>10208</v>
      </c>
      <c r="H9" s="30">
        <v>2009</v>
      </c>
      <c r="I9" s="31">
        <v>13</v>
      </c>
      <c r="J9" s="30">
        <v>1979</v>
      </c>
      <c r="K9" s="30">
        <f t="shared" si="0"/>
        <v>25727</v>
      </c>
    </row>
    <row r="10" spans="1:11" ht="15" x14ac:dyDescent="0.25">
      <c r="A10" s="33" t="s">
        <v>11</v>
      </c>
      <c r="B10" s="34">
        <f>G12</f>
        <v>9743.8571428571431</v>
      </c>
      <c r="E10" s="32">
        <f t="shared" si="1"/>
        <v>2010</v>
      </c>
      <c r="F10" s="35">
        <v>0.24030000000000001</v>
      </c>
      <c r="G10" s="35">
        <v>8137</v>
      </c>
      <c r="H10" s="30">
        <v>2010</v>
      </c>
      <c r="I10" s="31">
        <v>11</v>
      </c>
      <c r="J10" s="30">
        <v>17339</v>
      </c>
      <c r="K10" s="30">
        <f t="shared" si="0"/>
        <v>190729</v>
      </c>
    </row>
    <row r="11" spans="1:11" x14ac:dyDescent="0.3">
      <c r="A11" s="33" t="s">
        <v>12</v>
      </c>
      <c r="B11" s="34">
        <f>G15</f>
        <v>8264.3938345816969</v>
      </c>
      <c r="E11" s="30">
        <v>2011</v>
      </c>
      <c r="F11" s="35">
        <v>0.35799999999999998</v>
      </c>
      <c r="G11" s="35">
        <v>7877</v>
      </c>
      <c r="H11" s="30">
        <v>2011</v>
      </c>
      <c r="I11" s="31">
        <v>12</v>
      </c>
      <c r="J11" s="30">
        <v>36024</v>
      </c>
      <c r="K11" s="30">
        <f t="shared" si="0"/>
        <v>432288</v>
      </c>
    </row>
    <row r="12" spans="1:11" ht="15" x14ac:dyDescent="0.25">
      <c r="A12" s="33" t="s">
        <v>13</v>
      </c>
      <c r="B12" s="34">
        <f>G16</f>
        <v>11223.320451132589</v>
      </c>
      <c r="E12" s="30" t="s">
        <v>35</v>
      </c>
      <c r="F12" s="36">
        <f>AVERAGE(F5:F11)</f>
        <v>0.29932857142857144</v>
      </c>
      <c r="G12" s="34">
        <f>AVERAGE(G5:G11)</f>
        <v>9743.8571428571431</v>
      </c>
      <c r="H12" s="22">
        <v>2005</v>
      </c>
      <c r="I12" s="31">
        <v>16.2</v>
      </c>
      <c r="J12" s="30">
        <v>32224</v>
      </c>
      <c r="K12" s="30">
        <f t="shared" si="0"/>
        <v>522028.79999999999</v>
      </c>
    </row>
    <row r="13" spans="1:11" ht="15" x14ac:dyDescent="0.25">
      <c r="A13" s="33" t="s">
        <v>14</v>
      </c>
      <c r="B13" s="6">
        <v>8</v>
      </c>
      <c r="E13" s="30" t="s">
        <v>36</v>
      </c>
      <c r="F13" s="36">
        <f>STDEV(F5:F11)</f>
        <v>5.6709132547463036E-2</v>
      </c>
      <c r="G13" s="34">
        <f>STDEV(G5:G11)</f>
        <v>1997.0877487457751</v>
      </c>
      <c r="H13" s="30">
        <v>2006</v>
      </c>
      <c r="I13" s="31">
        <v>16.7</v>
      </c>
      <c r="J13" s="30">
        <v>24477</v>
      </c>
      <c r="K13" s="30">
        <f t="shared" si="0"/>
        <v>408765.89999999997</v>
      </c>
    </row>
    <row r="14" spans="1:11" ht="15" x14ac:dyDescent="0.25">
      <c r="A14" s="33" t="s">
        <v>15</v>
      </c>
      <c r="B14" s="62">
        <f>K69</f>
        <v>22.241149504021649</v>
      </c>
      <c r="E14" s="30" t="s">
        <v>37</v>
      </c>
      <c r="F14" s="36">
        <f>F13/SQRT(COUNT(F5:F11))</f>
        <v>2.1434037398112282E-2</v>
      </c>
      <c r="G14" s="34">
        <f>G13/SQRT(COUNT(G5:G11))</f>
        <v>754.82821850788082</v>
      </c>
      <c r="H14" s="30">
        <v>2007</v>
      </c>
      <c r="I14" s="31">
        <v>16</v>
      </c>
      <c r="J14" s="30">
        <v>41992</v>
      </c>
      <c r="K14" s="30">
        <f t="shared" si="0"/>
        <v>671872</v>
      </c>
    </row>
    <row r="15" spans="1:11" ht="15" x14ac:dyDescent="0.25">
      <c r="A15" s="33" t="s">
        <v>16</v>
      </c>
      <c r="B15" s="7">
        <f>B7/B6</f>
        <v>1.9955238095238097</v>
      </c>
      <c r="E15" s="30" t="s">
        <v>38</v>
      </c>
      <c r="F15" s="36">
        <f>F12-1.96*F14</f>
        <v>0.25731785812827135</v>
      </c>
      <c r="G15" s="34">
        <f>G12-1.96*G14</f>
        <v>8264.3938345816969</v>
      </c>
      <c r="H15" s="30">
        <v>2008</v>
      </c>
      <c r="I15" s="31">
        <v>11</v>
      </c>
      <c r="J15" s="30">
        <v>46426</v>
      </c>
      <c r="K15" s="30">
        <f t="shared" si="0"/>
        <v>510686</v>
      </c>
    </row>
    <row r="16" spans="1:11" ht="15" x14ac:dyDescent="0.25">
      <c r="A16" s="33"/>
      <c r="E16" s="30" t="s">
        <v>39</v>
      </c>
      <c r="F16" s="36">
        <f>F12+1.96*F14</f>
        <v>0.34133928472887154</v>
      </c>
      <c r="G16" s="34">
        <f>G12+1.96*G14</f>
        <v>11223.320451132589</v>
      </c>
      <c r="H16" s="30">
        <v>2009</v>
      </c>
      <c r="I16" s="31">
        <v>16</v>
      </c>
      <c r="J16" s="30">
        <v>6416</v>
      </c>
      <c r="K16" s="30">
        <f t="shared" si="0"/>
        <v>102656</v>
      </c>
    </row>
    <row r="17" spans="1:11" ht="15" x14ac:dyDescent="0.25">
      <c r="A17" s="33" t="s">
        <v>17</v>
      </c>
      <c r="H17" s="30">
        <v>2010</v>
      </c>
      <c r="I17" s="31">
        <v>19</v>
      </c>
      <c r="J17" s="30">
        <v>5983</v>
      </c>
      <c r="K17" s="30">
        <f t="shared" si="0"/>
        <v>113677</v>
      </c>
    </row>
    <row r="18" spans="1:11" ht="15" x14ac:dyDescent="0.25">
      <c r="A18" s="33" t="s">
        <v>18</v>
      </c>
      <c r="B18" s="30">
        <v>8.8999999999999999E-3</v>
      </c>
      <c r="H18" s="30">
        <v>2011</v>
      </c>
      <c r="I18" s="31">
        <v>20</v>
      </c>
      <c r="J18" s="30">
        <v>55945</v>
      </c>
      <c r="K18" s="30">
        <f t="shared" si="0"/>
        <v>1118900</v>
      </c>
    </row>
    <row r="19" spans="1:11" ht="15" x14ac:dyDescent="0.25">
      <c r="A19" s="33" t="s">
        <v>19</v>
      </c>
      <c r="B19" s="30">
        <v>2.875</v>
      </c>
      <c r="H19" s="22">
        <v>2005</v>
      </c>
      <c r="I19" s="31">
        <v>21.2</v>
      </c>
      <c r="J19" s="30">
        <v>54707</v>
      </c>
      <c r="K19" s="30">
        <f t="shared" si="0"/>
        <v>1159788.3999999999</v>
      </c>
    </row>
    <row r="20" spans="1:11" ht="15" x14ac:dyDescent="0.25">
      <c r="A20" s="33" t="s">
        <v>20</v>
      </c>
      <c r="B20" s="42">
        <v>23.7</v>
      </c>
      <c r="H20" s="30">
        <v>2006</v>
      </c>
      <c r="I20" s="31">
        <v>21.4</v>
      </c>
      <c r="J20" s="30">
        <v>11771</v>
      </c>
      <c r="K20" s="30">
        <f t="shared" si="0"/>
        <v>251899.4</v>
      </c>
    </row>
    <row r="21" spans="1:11" ht="15" x14ac:dyDescent="0.25">
      <c r="A21" s="33" t="s">
        <v>21</v>
      </c>
      <c r="B21" s="42">
        <v>0.22</v>
      </c>
      <c r="H21" s="30">
        <v>2007</v>
      </c>
      <c r="I21" s="31">
        <v>22</v>
      </c>
      <c r="J21" s="30">
        <v>16429</v>
      </c>
      <c r="K21" s="30">
        <f t="shared" si="0"/>
        <v>361438</v>
      </c>
    </row>
    <row r="22" spans="1:11" ht="15" x14ac:dyDescent="0.25">
      <c r="A22" s="33" t="s">
        <v>22</v>
      </c>
      <c r="B22" s="42">
        <v>-2.25</v>
      </c>
      <c r="H22" s="30">
        <v>2008</v>
      </c>
      <c r="I22" s="31">
        <v>15</v>
      </c>
      <c r="J22" s="30">
        <v>18578</v>
      </c>
      <c r="K22" s="30">
        <f t="shared" si="0"/>
        <v>278670</v>
      </c>
    </row>
    <row r="23" spans="1:11" ht="15" x14ac:dyDescent="0.25">
      <c r="A23" s="33"/>
      <c r="H23" s="30">
        <v>2009</v>
      </c>
      <c r="I23" s="31">
        <v>21</v>
      </c>
      <c r="J23" s="30">
        <v>46476</v>
      </c>
      <c r="K23" s="30">
        <f t="shared" si="0"/>
        <v>975996</v>
      </c>
    </row>
    <row r="24" spans="1:11" x14ac:dyDescent="0.3">
      <c r="A24" s="33" t="s">
        <v>23</v>
      </c>
      <c r="H24" s="30">
        <v>2010</v>
      </c>
      <c r="I24" s="31">
        <v>23</v>
      </c>
      <c r="J24" s="30">
        <v>6907</v>
      </c>
      <c r="K24" s="30">
        <f t="shared" si="0"/>
        <v>158861</v>
      </c>
    </row>
    <row r="25" spans="1:11" x14ac:dyDescent="0.3">
      <c r="A25" s="33" t="s">
        <v>24</v>
      </c>
      <c r="B25" s="7">
        <f>B20*(1-EXP(-B21*(B5-B22)))</f>
        <v>16.233136375389105</v>
      </c>
      <c r="H25" s="30">
        <v>2011</v>
      </c>
      <c r="I25" s="31">
        <v>26</v>
      </c>
      <c r="J25" s="30">
        <v>4918</v>
      </c>
      <c r="K25" s="30">
        <f t="shared" si="0"/>
        <v>127868</v>
      </c>
    </row>
    <row r="26" spans="1:11" x14ac:dyDescent="0.3">
      <c r="A26" s="33" t="s">
        <v>25</v>
      </c>
      <c r="B26" s="7">
        <f>B20*3/(3+B6/B21)</f>
        <v>19.31111111111111</v>
      </c>
      <c r="C26" s="30">
        <f>2/3*B20</f>
        <v>15.799999999999999</v>
      </c>
      <c r="H26" s="22">
        <v>2005</v>
      </c>
      <c r="I26" s="31">
        <v>27.2</v>
      </c>
      <c r="J26" s="30">
        <v>43693</v>
      </c>
      <c r="K26" s="30">
        <f t="shared" si="0"/>
        <v>1188449.5999999999</v>
      </c>
    </row>
    <row r="27" spans="1:11" x14ac:dyDescent="0.3">
      <c r="A27" s="33" t="s">
        <v>26</v>
      </c>
      <c r="B27" s="7">
        <f>(B13/B18)^(1/B19)</f>
        <v>10.650595875749273</v>
      </c>
      <c r="H27" s="30">
        <v>2006</v>
      </c>
      <c r="I27" s="31">
        <v>24.2</v>
      </c>
      <c r="J27" s="30">
        <v>36809</v>
      </c>
      <c r="K27" s="30">
        <f t="shared" si="0"/>
        <v>890777.79999999993</v>
      </c>
    </row>
    <row r="28" spans="1:11" x14ac:dyDescent="0.3">
      <c r="A28" s="33" t="s">
        <v>27</v>
      </c>
      <c r="B28" s="7">
        <f>(B14/B18)^(1/B19)</f>
        <v>15.199597147433071</v>
      </c>
      <c r="H28" s="30">
        <v>2007</v>
      </c>
      <c r="I28" s="31">
        <v>25</v>
      </c>
      <c r="J28" s="30">
        <v>13686</v>
      </c>
      <c r="K28" s="30">
        <f t="shared" si="0"/>
        <v>342150</v>
      </c>
    </row>
    <row r="29" spans="1:11" x14ac:dyDescent="0.3">
      <c r="A29" s="33" t="s">
        <v>28</v>
      </c>
      <c r="B29" s="7">
        <f>(B20*B21+2*B27*B6)/(B21+2*B6)</f>
        <v>16.171497620624582</v>
      </c>
      <c r="C29" s="65">
        <f>(3*B27+B20)/4</f>
        <v>13.912946906811953</v>
      </c>
      <c r="H29" s="30">
        <v>2008</v>
      </c>
      <c r="I29" s="31">
        <v>22</v>
      </c>
      <c r="J29" s="30">
        <v>10452</v>
      </c>
      <c r="K29" s="30">
        <f t="shared" si="0"/>
        <v>229944</v>
      </c>
    </row>
    <row r="30" spans="1:11" x14ac:dyDescent="0.3">
      <c r="A30" s="33"/>
      <c r="H30" s="30">
        <v>2009</v>
      </c>
      <c r="I30" s="31">
        <v>24</v>
      </c>
      <c r="J30" s="30">
        <v>25009</v>
      </c>
      <c r="K30" s="30">
        <f t="shared" si="0"/>
        <v>600216</v>
      </c>
    </row>
    <row r="31" spans="1:11" x14ac:dyDescent="0.3">
      <c r="A31" s="33"/>
      <c r="H31" s="30">
        <v>2010</v>
      </c>
      <c r="I31" s="31">
        <v>25</v>
      </c>
      <c r="J31" s="30">
        <v>33450</v>
      </c>
      <c r="K31" s="30">
        <f t="shared" si="0"/>
        <v>836250</v>
      </c>
    </row>
    <row r="32" spans="1:11" x14ac:dyDescent="0.3">
      <c r="A32" s="33" t="s">
        <v>29</v>
      </c>
      <c r="H32" s="30">
        <v>2011</v>
      </c>
      <c r="I32" s="31">
        <v>32</v>
      </c>
      <c r="J32" s="30">
        <v>5902</v>
      </c>
      <c r="K32" s="30">
        <f t="shared" si="0"/>
        <v>188864</v>
      </c>
    </row>
    <row r="33" spans="1:11" x14ac:dyDescent="0.3">
      <c r="A33" s="33" t="s">
        <v>30</v>
      </c>
      <c r="H33" s="22">
        <v>2005</v>
      </c>
      <c r="I33" s="31">
        <v>33</v>
      </c>
      <c r="J33" s="30">
        <v>15087</v>
      </c>
      <c r="K33" s="30">
        <f t="shared" si="0"/>
        <v>497871</v>
      </c>
    </row>
    <row r="34" spans="1:11" x14ac:dyDescent="0.3">
      <c r="A34" s="33" t="s">
        <v>31</v>
      </c>
      <c r="B34" s="36">
        <f>B21*(B28-B20)/(B27-B28)-B6</f>
        <v>0.26109872604465489</v>
      </c>
      <c r="H34" s="30">
        <v>2006</v>
      </c>
      <c r="I34" s="31">
        <v>27.3</v>
      </c>
      <c r="J34" s="30">
        <v>11182</v>
      </c>
      <c r="K34" s="30">
        <f t="shared" si="0"/>
        <v>305268.60000000003</v>
      </c>
    </row>
    <row r="35" spans="1:11" x14ac:dyDescent="0.3">
      <c r="A35" s="33" t="s">
        <v>16</v>
      </c>
      <c r="B35" s="36">
        <f>B21/B6*(B28-B20)/(B27-B28)-1</f>
        <v>1.7406581736310329</v>
      </c>
      <c r="H35" s="30">
        <v>2007</v>
      </c>
      <c r="I35" s="31">
        <v>28</v>
      </c>
      <c r="J35" s="30">
        <v>23269</v>
      </c>
      <c r="K35" s="30">
        <f t="shared" si="0"/>
        <v>651532</v>
      </c>
    </row>
    <row r="36" spans="1:11" x14ac:dyDescent="0.3">
      <c r="A36" s="33" t="s">
        <v>32</v>
      </c>
      <c r="B36" s="36">
        <f>2*(B28-B20)/(3*(B27-B28))-1</f>
        <v>0.24575371528683299</v>
      </c>
      <c r="H36" s="30">
        <v>2008</v>
      </c>
      <c r="I36" s="31">
        <v>23</v>
      </c>
      <c r="J36" s="30">
        <v>5674</v>
      </c>
      <c r="K36" s="30">
        <f t="shared" si="0"/>
        <v>130502</v>
      </c>
    </row>
    <row r="37" spans="1:11" x14ac:dyDescent="0.3">
      <c r="A37" s="33" t="s">
        <v>33</v>
      </c>
      <c r="B37" s="7">
        <f>(3*B27+B20)/4</f>
        <v>13.912946906811953</v>
      </c>
      <c r="H37" s="30">
        <v>2009</v>
      </c>
      <c r="I37" s="31">
        <v>29</v>
      </c>
      <c r="J37" s="30">
        <v>3282</v>
      </c>
      <c r="K37" s="30">
        <f t="shared" si="0"/>
        <v>95178</v>
      </c>
    </row>
    <row r="38" spans="1:11" x14ac:dyDescent="0.3">
      <c r="H38" s="30">
        <v>2010</v>
      </c>
      <c r="I38" s="31">
        <v>30</v>
      </c>
      <c r="J38" s="30">
        <v>9896</v>
      </c>
      <c r="K38" s="30">
        <f t="shared" si="0"/>
        <v>296880</v>
      </c>
    </row>
    <row r="39" spans="1:11" x14ac:dyDescent="0.3">
      <c r="H39" s="30">
        <v>2011</v>
      </c>
      <c r="I39" s="31">
        <v>30</v>
      </c>
      <c r="J39" s="30">
        <v>24451</v>
      </c>
      <c r="K39" s="30">
        <f t="shared" si="0"/>
        <v>733530</v>
      </c>
    </row>
    <row r="40" spans="1:11" x14ac:dyDescent="0.3">
      <c r="H40" s="22">
        <v>2005</v>
      </c>
      <c r="I40" s="31">
        <v>35.299999999999997</v>
      </c>
      <c r="J40" s="30">
        <v>21037</v>
      </c>
      <c r="K40" s="30">
        <f t="shared" si="0"/>
        <v>742606.1</v>
      </c>
    </row>
    <row r="41" spans="1:11" x14ac:dyDescent="0.3">
      <c r="H41" s="30">
        <v>2006</v>
      </c>
      <c r="I41" s="31">
        <v>31.5</v>
      </c>
      <c r="J41" s="30">
        <v>7384</v>
      </c>
      <c r="K41" s="30">
        <f t="shared" si="0"/>
        <v>232596</v>
      </c>
    </row>
    <row r="42" spans="1:11" x14ac:dyDescent="0.3">
      <c r="H42" s="30">
        <v>2007</v>
      </c>
      <c r="I42" s="31">
        <v>33</v>
      </c>
      <c r="J42" s="30">
        <v>9424</v>
      </c>
      <c r="K42" s="30">
        <f t="shared" si="0"/>
        <v>310992</v>
      </c>
    </row>
    <row r="43" spans="1:11" x14ac:dyDescent="0.3">
      <c r="H43" s="30">
        <v>2008</v>
      </c>
      <c r="I43" s="31">
        <v>27</v>
      </c>
      <c r="J43" s="30">
        <v>11533</v>
      </c>
      <c r="K43" s="30">
        <f t="shared" si="0"/>
        <v>311391</v>
      </c>
    </row>
    <row r="44" spans="1:11" x14ac:dyDescent="0.3">
      <c r="H44" s="30">
        <v>2009</v>
      </c>
      <c r="I44" s="31">
        <v>31</v>
      </c>
      <c r="J44" s="30">
        <v>4743</v>
      </c>
      <c r="K44" s="30">
        <f t="shared" si="0"/>
        <v>147033</v>
      </c>
    </row>
    <row r="45" spans="1:11" x14ac:dyDescent="0.3">
      <c r="H45" s="30">
        <v>2010</v>
      </c>
      <c r="I45" s="31">
        <v>34</v>
      </c>
      <c r="J45" s="30">
        <v>2207</v>
      </c>
      <c r="K45" s="30">
        <f t="shared" si="0"/>
        <v>75038</v>
      </c>
    </row>
    <row r="46" spans="1:11" x14ac:dyDescent="0.3">
      <c r="H46" s="30">
        <v>2011</v>
      </c>
      <c r="I46" s="31">
        <v>35</v>
      </c>
      <c r="J46" s="30">
        <v>5347</v>
      </c>
      <c r="K46" s="30">
        <f t="shared" si="0"/>
        <v>187145</v>
      </c>
    </row>
    <row r="47" spans="1:11" x14ac:dyDescent="0.3">
      <c r="H47" s="22">
        <v>2005</v>
      </c>
      <c r="I47" s="31">
        <v>39.700000000000003</v>
      </c>
      <c r="J47" s="30">
        <v>6265</v>
      </c>
      <c r="K47" s="30">
        <f t="shared" si="0"/>
        <v>248720.50000000003</v>
      </c>
    </row>
    <row r="48" spans="1:11" x14ac:dyDescent="0.3">
      <c r="H48" s="30">
        <v>2006</v>
      </c>
      <c r="I48" s="31">
        <v>36</v>
      </c>
      <c r="J48" s="30">
        <v>10350</v>
      </c>
      <c r="K48" s="30">
        <f t="shared" si="0"/>
        <v>372600</v>
      </c>
    </row>
    <row r="49" spans="8:11" x14ac:dyDescent="0.3">
      <c r="H49" s="30">
        <v>2007</v>
      </c>
      <c r="I49" s="31">
        <v>35</v>
      </c>
      <c r="J49" s="30">
        <v>3495</v>
      </c>
      <c r="K49" s="30">
        <f t="shared" si="0"/>
        <v>122325</v>
      </c>
    </row>
    <row r="50" spans="8:11" x14ac:dyDescent="0.3">
      <c r="H50" s="30">
        <v>2008</v>
      </c>
      <c r="I50" s="31">
        <v>31</v>
      </c>
      <c r="J50" s="30">
        <v>5642</v>
      </c>
      <c r="K50" s="30">
        <f t="shared" si="0"/>
        <v>174902</v>
      </c>
    </row>
    <row r="51" spans="8:11" x14ac:dyDescent="0.3">
      <c r="H51" s="30">
        <v>2009</v>
      </c>
      <c r="I51" s="31">
        <v>34</v>
      </c>
      <c r="J51" s="30">
        <v>4978</v>
      </c>
      <c r="K51" s="30">
        <f t="shared" si="0"/>
        <v>169252</v>
      </c>
    </row>
    <row r="52" spans="8:11" x14ac:dyDescent="0.3">
      <c r="H52" s="30">
        <v>2010</v>
      </c>
      <c r="I52" s="31">
        <v>36</v>
      </c>
      <c r="J52" s="30">
        <v>1508</v>
      </c>
      <c r="K52" s="30">
        <f t="shared" si="0"/>
        <v>54288</v>
      </c>
    </row>
    <row r="53" spans="8:11" x14ac:dyDescent="0.3">
      <c r="H53" s="30">
        <v>2011</v>
      </c>
      <c r="I53" s="31">
        <v>37</v>
      </c>
      <c r="J53" s="30">
        <v>5262</v>
      </c>
      <c r="K53" s="30">
        <f t="shared" si="0"/>
        <v>194694</v>
      </c>
    </row>
    <row r="54" spans="8:11" x14ac:dyDescent="0.3">
      <c r="H54" s="22">
        <v>2005</v>
      </c>
      <c r="I54" s="31">
        <v>45.5</v>
      </c>
      <c r="J54" s="30">
        <v>2570</v>
      </c>
      <c r="K54" s="30">
        <f t="shared" si="0"/>
        <v>116935</v>
      </c>
    </row>
    <row r="55" spans="8:11" x14ac:dyDescent="0.3">
      <c r="H55" s="30">
        <v>2006</v>
      </c>
      <c r="I55" s="31">
        <v>38.200000000000003</v>
      </c>
      <c r="J55" s="30">
        <v>2059</v>
      </c>
      <c r="K55" s="30">
        <f t="shared" si="0"/>
        <v>78653.8</v>
      </c>
    </row>
    <row r="56" spans="8:11" x14ac:dyDescent="0.3">
      <c r="H56" s="30">
        <v>2007</v>
      </c>
      <c r="I56" s="31">
        <v>41</v>
      </c>
      <c r="J56" s="30">
        <v>7948</v>
      </c>
      <c r="K56" s="30">
        <f t="shared" si="0"/>
        <v>325868</v>
      </c>
    </row>
    <row r="57" spans="8:11" x14ac:dyDescent="0.3">
      <c r="H57" s="30">
        <v>2008</v>
      </c>
      <c r="I57" s="31">
        <v>37</v>
      </c>
      <c r="J57" s="30">
        <v>2641</v>
      </c>
      <c r="K57" s="30">
        <f t="shared" si="0"/>
        <v>97717</v>
      </c>
    </row>
    <row r="58" spans="8:11" x14ac:dyDescent="0.3">
      <c r="H58" s="30">
        <v>2009</v>
      </c>
      <c r="I58" s="31">
        <v>36</v>
      </c>
      <c r="J58" s="30">
        <v>2759</v>
      </c>
      <c r="K58" s="30">
        <f t="shared" si="0"/>
        <v>99324</v>
      </c>
    </row>
    <row r="59" spans="8:11" x14ac:dyDescent="0.3">
      <c r="H59" s="30">
        <v>2010</v>
      </c>
      <c r="I59" s="31">
        <v>39</v>
      </c>
      <c r="J59" s="30">
        <v>3807</v>
      </c>
      <c r="K59" s="30">
        <f t="shared" si="0"/>
        <v>148473</v>
      </c>
    </row>
    <row r="60" spans="8:11" x14ac:dyDescent="0.3">
      <c r="H60" s="30">
        <v>2011</v>
      </c>
      <c r="I60" s="31">
        <v>39</v>
      </c>
      <c r="J60" s="30">
        <v>1997</v>
      </c>
      <c r="K60" s="30">
        <f t="shared" si="0"/>
        <v>77883</v>
      </c>
    </row>
    <row r="61" spans="8:11" x14ac:dyDescent="0.3">
      <c r="H61" s="22">
        <v>2005</v>
      </c>
      <c r="I61" s="31">
        <v>51.4</v>
      </c>
      <c r="J61" s="30">
        <v>3584</v>
      </c>
      <c r="K61" s="30">
        <f t="shared" si="0"/>
        <v>184217.60000000001</v>
      </c>
    </row>
    <row r="62" spans="8:11" x14ac:dyDescent="0.3">
      <c r="H62" s="30">
        <v>2006</v>
      </c>
      <c r="I62" s="31">
        <v>46.7</v>
      </c>
      <c r="J62" s="30">
        <v>4039</v>
      </c>
      <c r="K62" s="30">
        <f t="shared" si="0"/>
        <v>188621.30000000002</v>
      </c>
    </row>
    <row r="63" spans="8:11" x14ac:dyDescent="0.3">
      <c r="H63" s="30">
        <v>2007</v>
      </c>
      <c r="I63" s="31">
        <v>49</v>
      </c>
      <c r="J63" s="30">
        <v>2111</v>
      </c>
      <c r="K63" s="30">
        <f t="shared" si="0"/>
        <v>103439</v>
      </c>
    </row>
    <row r="64" spans="8:11" x14ac:dyDescent="0.3">
      <c r="H64" s="30">
        <v>2008</v>
      </c>
      <c r="I64" s="31">
        <v>40</v>
      </c>
      <c r="J64" s="30">
        <v>7102</v>
      </c>
      <c r="K64" s="30">
        <f t="shared" si="0"/>
        <v>284080</v>
      </c>
    </row>
    <row r="65" spans="8:11" x14ac:dyDescent="0.3">
      <c r="H65" s="30">
        <v>2009</v>
      </c>
      <c r="I65" s="31">
        <v>43</v>
      </c>
      <c r="J65" s="30">
        <v>3645</v>
      </c>
      <c r="K65" s="30">
        <f t="shared" si="0"/>
        <v>156735</v>
      </c>
    </row>
    <row r="66" spans="8:11" x14ac:dyDescent="0.3">
      <c r="H66" s="30">
        <v>2010</v>
      </c>
      <c r="I66" s="31">
        <v>47</v>
      </c>
      <c r="J66" s="30">
        <v>3846</v>
      </c>
      <c r="K66" s="30">
        <f t="shared" si="0"/>
        <v>180762</v>
      </c>
    </row>
    <row r="67" spans="8:11" x14ac:dyDescent="0.3">
      <c r="H67" s="30">
        <v>2011</v>
      </c>
      <c r="I67" s="31">
        <v>38</v>
      </c>
      <c r="J67" s="30">
        <v>4994</v>
      </c>
      <c r="K67" s="30">
        <f t="shared" si="0"/>
        <v>189772</v>
      </c>
    </row>
    <row r="68" spans="8:11" x14ac:dyDescent="0.3">
      <c r="H68" s="30" t="s">
        <v>42</v>
      </c>
      <c r="J68" s="30">
        <f>SUM(J5:J67)</f>
        <v>940162</v>
      </c>
      <c r="K68" s="30">
        <f>SUM(K5:K67)</f>
        <v>20910283.600000001</v>
      </c>
    </row>
    <row r="69" spans="8:11" x14ac:dyDescent="0.3">
      <c r="H69" s="30" t="s">
        <v>43</v>
      </c>
      <c r="K69" s="30">
        <f>K68/J68</f>
        <v>22.241149504021649</v>
      </c>
    </row>
    <row r="70" spans="8:11" x14ac:dyDescent="0.3">
      <c r="I70" s="31"/>
    </row>
    <row r="71" spans="8:11" x14ac:dyDescent="0.3">
      <c r="I71" s="31"/>
    </row>
    <row r="72" spans="8:11" x14ac:dyDescent="0.3">
      <c r="I72" s="31"/>
    </row>
    <row r="73" spans="8:11" x14ac:dyDescent="0.3">
      <c r="I73" s="31"/>
    </row>
    <row r="74" spans="8:11" x14ac:dyDescent="0.3">
      <c r="I74" s="31"/>
    </row>
    <row r="75" spans="8:11" x14ac:dyDescent="0.3">
      <c r="I75" s="31"/>
    </row>
    <row r="76" spans="8:11" x14ac:dyDescent="0.3">
      <c r="I76" s="31"/>
    </row>
    <row r="77" spans="8:11" x14ac:dyDescent="0.3">
      <c r="I77" s="31"/>
    </row>
    <row r="78" spans="8:11" x14ac:dyDescent="0.3">
      <c r="I78" s="31"/>
    </row>
    <row r="79" spans="8:11" x14ac:dyDescent="0.3">
      <c r="I79" s="31"/>
    </row>
    <row r="80" spans="8:11" x14ac:dyDescent="0.3">
      <c r="I80" s="31"/>
    </row>
    <row r="81" spans="9:9" x14ac:dyDescent="0.3">
      <c r="I81" s="31"/>
    </row>
    <row r="82" spans="9:9" x14ac:dyDescent="0.3">
      <c r="I82" s="31"/>
    </row>
    <row r="83" spans="9:9" x14ac:dyDescent="0.3">
      <c r="I83" s="31"/>
    </row>
    <row r="84" spans="9:9" x14ac:dyDescent="0.3">
      <c r="I84" s="31"/>
    </row>
    <row r="85" spans="9:9" x14ac:dyDescent="0.3">
      <c r="I85" s="31"/>
    </row>
    <row r="86" spans="9:9" x14ac:dyDescent="0.3">
      <c r="I86" s="31"/>
    </row>
    <row r="87" spans="9:9" x14ac:dyDescent="0.3">
      <c r="I87" s="31"/>
    </row>
    <row r="88" spans="9:9" x14ac:dyDescent="0.3">
      <c r="I88" s="31"/>
    </row>
    <row r="89" spans="9:9" x14ac:dyDescent="0.3">
      <c r="I89" s="31"/>
    </row>
    <row r="90" spans="9:9" x14ac:dyDescent="0.3">
      <c r="I90" s="31"/>
    </row>
    <row r="91" spans="9:9" x14ac:dyDescent="0.3">
      <c r="I91" s="31"/>
    </row>
    <row r="92" spans="9:9" x14ac:dyDescent="0.3">
      <c r="I92" s="31"/>
    </row>
    <row r="93" spans="9:9" x14ac:dyDescent="0.3">
      <c r="I93" s="31"/>
    </row>
    <row r="94" spans="9:9" x14ac:dyDescent="0.3">
      <c r="I94" s="31"/>
    </row>
    <row r="95" spans="9:9" x14ac:dyDescent="0.3">
      <c r="I95" s="31"/>
    </row>
    <row r="96" spans="9:9" x14ac:dyDescent="0.3">
      <c r="I96" s="31"/>
    </row>
    <row r="97" spans="9:9" x14ac:dyDescent="0.3">
      <c r="I97" s="31"/>
    </row>
    <row r="98" spans="9:9" x14ac:dyDescent="0.3">
      <c r="I98" s="31"/>
    </row>
    <row r="99" spans="9:9" x14ac:dyDescent="0.3">
      <c r="I99" s="31"/>
    </row>
    <row r="100" spans="9:9" x14ac:dyDescent="0.3">
      <c r="I100" s="3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13" workbookViewId="0">
      <selection activeCell="B26" sqref="B26"/>
    </sheetView>
  </sheetViews>
  <sheetFormatPr defaultColWidth="9.109375" defaultRowHeight="14.4" x14ac:dyDescent="0.3"/>
  <cols>
    <col min="1" max="1" width="38.33203125" style="37" customWidth="1"/>
    <col min="2" max="2" width="13.109375" style="37" customWidth="1"/>
    <col min="3" max="5" width="9.109375" style="37"/>
    <col min="6" max="6" width="9.109375" style="37" customWidth="1"/>
    <col min="7" max="7" width="12.88671875" style="37" customWidth="1"/>
    <col min="8" max="9" width="9.109375" style="37"/>
    <col min="10" max="10" width="12.6640625" style="37" bestFit="1" customWidth="1"/>
    <col min="11" max="11" width="10.88671875" style="37" customWidth="1"/>
    <col min="12" max="16384" width="9.109375" style="37"/>
  </cols>
  <sheetData>
    <row r="1" spans="1:11" ht="15" x14ac:dyDescent="0.25">
      <c r="A1" s="38" t="s">
        <v>57</v>
      </c>
      <c r="D1" s="21" t="s">
        <v>58</v>
      </c>
    </row>
    <row r="2" spans="1:11" ht="15" x14ac:dyDescent="0.25">
      <c r="A2" s="38" t="s">
        <v>3</v>
      </c>
    </row>
    <row r="3" spans="1:11" ht="15" x14ac:dyDescent="0.25">
      <c r="A3" s="38" t="s">
        <v>4</v>
      </c>
      <c r="B3" s="37">
        <v>0.25</v>
      </c>
    </row>
    <row r="4" spans="1:11" ht="15" x14ac:dyDescent="0.25">
      <c r="A4" s="38" t="s">
        <v>5</v>
      </c>
      <c r="B4" s="39">
        <v>1300000</v>
      </c>
      <c r="F4" s="38" t="s">
        <v>2</v>
      </c>
      <c r="G4" s="38" t="s">
        <v>0</v>
      </c>
      <c r="I4" s="38" t="s">
        <v>40</v>
      </c>
      <c r="J4" s="38" t="s">
        <v>1</v>
      </c>
      <c r="K4" s="38" t="s">
        <v>41</v>
      </c>
    </row>
    <row r="5" spans="1:11" x14ac:dyDescent="0.3">
      <c r="A5" s="45" t="s">
        <v>6</v>
      </c>
      <c r="B5" s="46">
        <v>3</v>
      </c>
      <c r="E5" s="37">
        <v>2005</v>
      </c>
      <c r="F5" s="37">
        <v>0.2596</v>
      </c>
      <c r="G5" s="43">
        <v>2295493</v>
      </c>
      <c r="H5" s="37">
        <v>2005</v>
      </c>
      <c r="I5" s="42">
        <v>1.0999999999999999E-2</v>
      </c>
      <c r="J5" s="41">
        <v>1015554</v>
      </c>
      <c r="K5" s="9">
        <f>J5*I5</f>
        <v>11171.093999999999</v>
      </c>
    </row>
    <row r="6" spans="1:11" x14ac:dyDescent="0.3">
      <c r="A6" s="45" t="s">
        <v>7</v>
      </c>
      <c r="B6" s="46">
        <v>0.34</v>
      </c>
      <c r="E6" s="37">
        <f>E5+1</f>
        <v>2006</v>
      </c>
      <c r="F6" s="37">
        <v>0.23100000000000001</v>
      </c>
      <c r="G6" s="43">
        <v>1797072</v>
      </c>
      <c r="H6" s="37">
        <f>H5+1</f>
        <v>2006</v>
      </c>
      <c r="I6" s="42">
        <v>0.01</v>
      </c>
      <c r="J6" s="41">
        <v>878637</v>
      </c>
      <c r="K6" s="9">
        <f t="shared" ref="K6:K67" si="0">J6*I6</f>
        <v>8786.3700000000008</v>
      </c>
    </row>
    <row r="7" spans="1:11" ht="15" x14ac:dyDescent="0.25">
      <c r="A7" s="38" t="s">
        <v>8</v>
      </c>
      <c r="B7" s="40">
        <f>F12</f>
        <v>0.15189999999999998</v>
      </c>
      <c r="E7" s="37">
        <f t="shared" ref="E7:E10" si="1">E6+1</f>
        <v>2007</v>
      </c>
      <c r="F7" s="37">
        <v>0.1968</v>
      </c>
      <c r="G7" s="43">
        <v>1444261</v>
      </c>
      <c r="H7" s="37">
        <f t="shared" ref="H7:H10" si="2">H6+1</f>
        <v>2007</v>
      </c>
      <c r="I7" s="42">
        <v>1.24E-2</v>
      </c>
      <c r="J7" s="41">
        <v>621005</v>
      </c>
      <c r="K7" s="9">
        <f t="shared" si="0"/>
        <v>7700.4619999999995</v>
      </c>
    </row>
    <row r="8" spans="1:11" ht="15" x14ac:dyDescent="0.25">
      <c r="A8" s="38" t="s">
        <v>9</v>
      </c>
      <c r="B8" s="40">
        <f>F15</f>
        <v>9.5293022479556427E-2</v>
      </c>
      <c r="E8" s="37">
        <f t="shared" si="1"/>
        <v>2008</v>
      </c>
      <c r="F8" s="37">
        <v>0.12820000000000001</v>
      </c>
      <c r="G8" s="43">
        <v>1525478</v>
      </c>
      <c r="H8" s="37">
        <f t="shared" si="2"/>
        <v>2008</v>
      </c>
      <c r="I8" s="42">
        <v>7.9000000000000008E-3</v>
      </c>
      <c r="J8" s="41">
        <v>798284</v>
      </c>
      <c r="K8" s="9">
        <f t="shared" si="0"/>
        <v>6306.4436000000005</v>
      </c>
    </row>
    <row r="9" spans="1:11" ht="15" x14ac:dyDescent="0.25">
      <c r="A9" s="38" t="s">
        <v>10</v>
      </c>
      <c r="B9" s="40">
        <f>F16</f>
        <v>0.20850697752044353</v>
      </c>
      <c r="E9" s="37">
        <f t="shared" si="1"/>
        <v>2009</v>
      </c>
      <c r="F9" s="37">
        <v>7.6200000000000004E-2</v>
      </c>
      <c r="G9" s="43">
        <v>1900075</v>
      </c>
      <c r="H9" s="37">
        <f t="shared" si="2"/>
        <v>2009</v>
      </c>
      <c r="I9" s="42">
        <v>9.4000000000000004E-3</v>
      </c>
      <c r="J9" s="41">
        <v>650043</v>
      </c>
      <c r="K9" s="9">
        <f t="shared" si="0"/>
        <v>6110.4041999999999</v>
      </c>
    </row>
    <row r="10" spans="1:11" ht="15" x14ac:dyDescent="0.25">
      <c r="A10" s="38" t="s">
        <v>11</v>
      </c>
      <c r="B10" s="39">
        <f>G12</f>
        <v>1901469.5714285714</v>
      </c>
      <c r="E10" s="37">
        <f t="shared" si="1"/>
        <v>2010</v>
      </c>
      <c r="F10" s="37">
        <v>7.8100000000000003E-2</v>
      </c>
      <c r="G10" s="43">
        <v>2003951</v>
      </c>
      <c r="H10" s="37">
        <f t="shared" si="2"/>
        <v>2010</v>
      </c>
      <c r="I10" s="42">
        <v>7.4999999999999997E-3</v>
      </c>
      <c r="J10" s="41">
        <v>574895</v>
      </c>
      <c r="K10" s="9">
        <f t="shared" si="0"/>
        <v>4311.7124999999996</v>
      </c>
    </row>
    <row r="11" spans="1:11" ht="15" x14ac:dyDescent="0.25">
      <c r="A11" s="38" t="s">
        <v>12</v>
      </c>
      <c r="B11" s="39">
        <f>G15</f>
        <v>1644335.7679407229</v>
      </c>
      <c r="E11" s="37">
        <v>2011</v>
      </c>
      <c r="F11" s="37">
        <v>9.3399999999999997E-2</v>
      </c>
      <c r="G11" s="43">
        <v>2343957</v>
      </c>
      <c r="H11" s="37">
        <v>2011</v>
      </c>
      <c r="I11" s="42">
        <v>8.0000000000000002E-3</v>
      </c>
      <c r="J11" s="41">
        <v>778927</v>
      </c>
      <c r="K11" s="9">
        <f t="shared" si="0"/>
        <v>6231.4160000000002</v>
      </c>
    </row>
    <row r="12" spans="1:11" ht="15" x14ac:dyDescent="0.25">
      <c r="A12" s="38" t="s">
        <v>13</v>
      </c>
      <c r="B12" s="39">
        <f>G16</f>
        <v>2158603.3749164199</v>
      </c>
      <c r="E12" s="37" t="s">
        <v>35</v>
      </c>
      <c r="F12" s="40">
        <f>AVERAGE(F5:F11)</f>
        <v>0.15189999999999998</v>
      </c>
      <c r="G12" s="39">
        <f>AVERAGE(G5:G11)</f>
        <v>1901469.5714285714</v>
      </c>
      <c r="H12" s="37">
        <v>2005</v>
      </c>
      <c r="I12" s="42">
        <v>4.3999999999999997E-2</v>
      </c>
      <c r="J12" s="41">
        <v>715547</v>
      </c>
      <c r="K12" s="9">
        <f t="shared" si="0"/>
        <v>31484.067999999999</v>
      </c>
    </row>
    <row r="13" spans="1:11" ht="15" x14ac:dyDescent="0.25">
      <c r="A13" s="38" t="s">
        <v>14</v>
      </c>
      <c r="B13" s="6">
        <v>7.5</v>
      </c>
      <c r="E13" s="37" t="s">
        <v>36</v>
      </c>
      <c r="F13" s="40">
        <f>STDEV(F5:F11)</f>
        <v>7.6412237239855782E-2</v>
      </c>
      <c r="G13" s="39">
        <f>STDEV(G5:G11)</f>
        <v>347098.00902908167</v>
      </c>
      <c r="H13" s="37">
        <f>H12+1</f>
        <v>2006</v>
      </c>
      <c r="I13" s="42">
        <v>4.9000000000000002E-2</v>
      </c>
      <c r="J13" s="41">
        <v>222111</v>
      </c>
      <c r="K13" s="9">
        <f t="shared" si="0"/>
        <v>10883.439</v>
      </c>
    </row>
    <row r="14" spans="1:11" ht="15" x14ac:dyDescent="0.25">
      <c r="A14" s="38" t="s">
        <v>15</v>
      </c>
      <c r="B14" s="40">
        <f>K69*1000</f>
        <v>121.20398963170756</v>
      </c>
      <c r="E14" s="37" t="s">
        <v>37</v>
      </c>
      <c r="F14" s="40">
        <f>F13/SQRT(COUNT(F5:F11))</f>
        <v>2.8881110979818138E-2</v>
      </c>
      <c r="G14" s="39">
        <f>G13/SQRT(COUNT(G5:G11))</f>
        <v>131190.71606522883</v>
      </c>
      <c r="H14" s="37">
        <f t="shared" ref="H14:H17" si="3">H13+1</f>
        <v>2007</v>
      </c>
      <c r="I14" s="42">
        <v>6.3799999999999996E-2</v>
      </c>
      <c r="J14" s="41">
        <v>235553</v>
      </c>
      <c r="K14" s="9">
        <f t="shared" si="0"/>
        <v>15028.2814</v>
      </c>
    </row>
    <row r="15" spans="1:11" ht="15" x14ac:dyDescent="0.25">
      <c r="A15" s="38" t="s">
        <v>16</v>
      </c>
      <c r="B15" s="7">
        <f>B7/B6</f>
        <v>0.44676470588235284</v>
      </c>
      <c r="E15" s="37" t="s">
        <v>38</v>
      </c>
      <c r="F15" s="40">
        <f>F12-1.96*F14</f>
        <v>9.5293022479556427E-2</v>
      </c>
      <c r="G15" s="39">
        <f>G12-1.96*G14</f>
        <v>1644335.7679407229</v>
      </c>
      <c r="H15" s="37">
        <f t="shared" si="3"/>
        <v>2008</v>
      </c>
      <c r="I15" s="42">
        <v>5.3499999999999999E-2</v>
      </c>
      <c r="J15" s="41">
        <v>235022</v>
      </c>
      <c r="K15" s="9">
        <f t="shared" si="0"/>
        <v>12573.677</v>
      </c>
    </row>
    <row r="16" spans="1:11" ht="15" x14ac:dyDescent="0.25">
      <c r="A16" s="38" t="s">
        <v>65</v>
      </c>
      <c r="B16" s="7">
        <f>B7/B3</f>
        <v>0.60759999999999992</v>
      </c>
      <c r="E16" s="37" t="s">
        <v>39</v>
      </c>
      <c r="F16" s="40">
        <f>F12+1.96*F14</f>
        <v>0.20850697752044353</v>
      </c>
      <c r="G16" s="39">
        <f>G12+1.96*G14</f>
        <v>2158603.3749164199</v>
      </c>
      <c r="H16" s="37">
        <f t="shared" si="3"/>
        <v>2009</v>
      </c>
      <c r="I16" s="42">
        <v>5.1400000000000001E-2</v>
      </c>
      <c r="J16" s="41">
        <v>175923</v>
      </c>
      <c r="K16" s="9">
        <f t="shared" si="0"/>
        <v>9042.4421999999995</v>
      </c>
    </row>
    <row r="17" spans="1:11" ht="15" x14ac:dyDescent="0.25">
      <c r="A17" s="38" t="s">
        <v>17</v>
      </c>
      <c r="H17" s="37">
        <f t="shared" si="3"/>
        <v>2010</v>
      </c>
      <c r="I17" s="42">
        <v>5.7099999999999998E-2</v>
      </c>
      <c r="J17" s="41">
        <v>280728</v>
      </c>
      <c r="K17" s="9">
        <f t="shared" si="0"/>
        <v>16029.568799999999</v>
      </c>
    </row>
    <row r="18" spans="1:11" ht="15" x14ac:dyDescent="0.25">
      <c r="A18" s="38" t="s">
        <v>18</v>
      </c>
      <c r="B18" s="37">
        <v>6.3E-3</v>
      </c>
      <c r="H18" s="37">
        <v>2011</v>
      </c>
      <c r="I18" s="42">
        <v>4.1300000000000003E-2</v>
      </c>
      <c r="J18" s="41">
        <v>159504</v>
      </c>
      <c r="K18" s="9">
        <f t="shared" si="0"/>
        <v>6587.5152000000007</v>
      </c>
    </row>
    <row r="19" spans="1:11" ht="15" x14ac:dyDescent="0.25">
      <c r="A19" s="38" t="s">
        <v>19</v>
      </c>
      <c r="B19" s="37">
        <v>3.09</v>
      </c>
      <c r="H19" s="37">
        <v>2005</v>
      </c>
      <c r="I19" s="42">
        <v>9.9000000000000005E-2</v>
      </c>
      <c r="J19" s="41">
        <v>355453</v>
      </c>
      <c r="K19" s="9">
        <f t="shared" si="0"/>
        <v>35189.847000000002</v>
      </c>
    </row>
    <row r="20" spans="1:11" ht="15" x14ac:dyDescent="0.25">
      <c r="A20" s="38" t="s">
        <v>20</v>
      </c>
      <c r="B20" s="37">
        <v>31</v>
      </c>
      <c r="H20" s="37">
        <f>H19+1</f>
        <v>2006</v>
      </c>
      <c r="I20" s="42">
        <v>0.11700000000000001</v>
      </c>
      <c r="J20" s="41">
        <v>401087</v>
      </c>
      <c r="K20" s="9">
        <f t="shared" si="0"/>
        <v>46927.179000000004</v>
      </c>
    </row>
    <row r="21" spans="1:11" ht="15" x14ac:dyDescent="0.25">
      <c r="A21" s="38" t="s">
        <v>21</v>
      </c>
      <c r="B21" s="37">
        <v>0.24</v>
      </c>
      <c r="H21" s="37">
        <f t="shared" ref="H21:H24" si="4">H20+1</f>
        <v>2007</v>
      </c>
      <c r="I21" s="42">
        <v>0.12139999999999999</v>
      </c>
      <c r="J21" s="41">
        <v>219115</v>
      </c>
      <c r="K21" s="9">
        <f t="shared" si="0"/>
        <v>26600.560999999998</v>
      </c>
    </row>
    <row r="22" spans="1:11" ht="15" x14ac:dyDescent="0.25">
      <c r="A22" s="38" t="s">
        <v>22</v>
      </c>
      <c r="B22" s="37">
        <v>0</v>
      </c>
      <c r="H22" s="37">
        <f t="shared" si="4"/>
        <v>2008</v>
      </c>
      <c r="I22" s="42">
        <v>0.1288</v>
      </c>
      <c r="J22" s="41">
        <v>331772</v>
      </c>
      <c r="K22" s="9">
        <f t="shared" si="0"/>
        <v>42732.2336</v>
      </c>
    </row>
    <row r="23" spans="1:11" ht="15" x14ac:dyDescent="0.25">
      <c r="A23" s="38"/>
      <c r="H23" s="37">
        <f t="shared" si="4"/>
        <v>2009</v>
      </c>
      <c r="I23" s="42">
        <v>0.14399999999999999</v>
      </c>
      <c r="J23" s="41">
        <v>259434</v>
      </c>
      <c r="K23" s="9">
        <f t="shared" si="0"/>
        <v>37358.495999999999</v>
      </c>
    </row>
    <row r="24" spans="1:11" x14ac:dyDescent="0.3">
      <c r="A24" s="38" t="s">
        <v>23</v>
      </c>
      <c r="H24" s="37">
        <f t="shared" si="4"/>
        <v>2010</v>
      </c>
      <c r="I24" s="42">
        <v>0.12920000000000001</v>
      </c>
      <c r="J24" s="41">
        <v>293887</v>
      </c>
      <c r="K24" s="9">
        <f t="shared" si="0"/>
        <v>37970.200400000002</v>
      </c>
    </row>
    <row r="25" spans="1:11" x14ac:dyDescent="0.3">
      <c r="A25" s="38" t="s">
        <v>24</v>
      </c>
      <c r="B25" s="7">
        <f>B20*(1-EXP(-B21*(B5-B22)))</f>
        <v>15.910680065240877</v>
      </c>
      <c r="H25" s="37">
        <v>2011</v>
      </c>
      <c r="I25" s="42">
        <v>0.13170000000000001</v>
      </c>
      <c r="J25" s="41">
        <v>367820</v>
      </c>
      <c r="K25" s="9">
        <f t="shared" si="0"/>
        <v>48441.894000000008</v>
      </c>
    </row>
    <row r="26" spans="1:11" x14ac:dyDescent="0.3">
      <c r="A26" s="38" t="s">
        <v>25</v>
      </c>
      <c r="B26" s="7">
        <f>B20*3/(3+B6/B21)</f>
        <v>21.056603773584904</v>
      </c>
      <c r="C26" s="7">
        <f>2/3*B20</f>
        <v>20.666666666666664</v>
      </c>
      <c r="H26" s="37">
        <v>2005</v>
      </c>
      <c r="I26" s="42">
        <v>0.153</v>
      </c>
      <c r="J26" s="41">
        <v>485746</v>
      </c>
      <c r="K26" s="9">
        <f t="shared" si="0"/>
        <v>74319.137999999992</v>
      </c>
    </row>
    <row r="27" spans="1:11" x14ac:dyDescent="0.3">
      <c r="A27" s="38" t="s">
        <v>26</v>
      </c>
      <c r="B27" s="7">
        <f>(B13/B18)^(1/B19)</f>
        <v>9.8941586944938855</v>
      </c>
      <c r="H27" s="37">
        <f>H26+1</f>
        <v>2006</v>
      </c>
      <c r="I27" s="42">
        <v>0.14399999999999999</v>
      </c>
      <c r="J27" s="41">
        <v>310602</v>
      </c>
      <c r="K27" s="9">
        <f t="shared" si="0"/>
        <v>44726.687999999995</v>
      </c>
    </row>
    <row r="28" spans="1:11" x14ac:dyDescent="0.3">
      <c r="A28" s="38" t="s">
        <v>27</v>
      </c>
      <c r="B28" s="7">
        <f>(B14/B18)^(1/B19)</f>
        <v>24.348086916838398</v>
      </c>
      <c r="H28" s="37">
        <f t="shared" ref="H28:H31" si="5">H27+1</f>
        <v>2007</v>
      </c>
      <c r="I28" s="42">
        <v>0.15129999999999999</v>
      </c>
      <c r="J28" s="41">
        <v>417452</v>
      </c>
      <c r="K28" s="9">
        <f t="shared" si="0"/>
        <v>63160.487599999993</v>
      </c>
    </row>
    <row r="29" spans="1:11" x14ac:dyDescent="0.3">
      <c r="A29" s="38" t="s">
        <v>28</v>
      </c>
      <c r="B29" s="7">
        <f>(B20*B21+2*B27*B6)/(B21+2*B6)</f>
        <v>15.400030339408522</v>
      </c>
      <c r="C29" s="65">
        <f>(3*B27+B20)/4</f>
        <v>15.170619020870415</v>
      </c>
      <c r="H29" s="37">
        <f t="shared" si="5"/>
        <v>2008</v>
      </c>
      <c r="I29" s="42">
        <v>0.17960000000000001</v>
      </c>
      <c r="J29" s="41">
        <v>184771</v>
      </c>
      <c r="K29" s="9">
        <f t="shared" si="0"/>
        <v>33184.871599999999</v>
      </c>
    </row>
    <row r="30" spans="1:11" x14ac:dyDescent="0.3">
      <c r="A30" s="38"/>
      <c r="H30" s="37">
        <f t="shared" si="5"/>
        <v>2009</v>
      </c>
      <c r="I30" s="42">
        <v>0.18110000000000001</v>
      </c>
      <c r="J30" s="41">
        <v>106738</v>
      </c>
      <c r="K30" s="9">
        <f t="shared" si="0"/>
        <v>19330.251800000002</v>
      </c>
    </row>
    <row r="31" spans="1:11" x14ac:dyDescent="0.3">
      <c r="A31" s="38"/>
      <c r="H31" s="37">
        <f t="shared" si="5"/>
        <v>2010</v>
      </c>
      <c r="I31" s="42">
        <v>0.16689999999999999</v>
      </c>
      <c r="J31" s="41">
        <v>236804</v>
      </c>
      <c r="K31" s="9">
        <f t="shared" si="0"/>
        <v>39522.587599999999</v>
      </c>
    </row>
    <row r="32" spans="1:11" x14ac:dyDescent="0.3">
      <c r="A32" s="38" t="s">
        <v>29</v>
      </c>
      <c r="H32" s="37">
        <v>2011</v>
      </c>
      <c r="I32" s="42">
        <v>0.1593</v>
      </c>
      <c r="J32" s="41">
        <v>275016</v>
      </c>
      <c r="K32" s="9">
        <f t="shared" si="0"/>
        <v>43810.048799999997</v>
      </c>
    </row>
    <row r="33" spans="1:11" x14ac:dyDescent="0.3">
      <c r="A33" s="38" t="s">
        <v>30</v>
      </c>
      <c r="H33" s="37">
        <v>2005</v>
      </c>
      <c r="I33" s="42">
        <v>0.16600000000000001</v>
      </c>
      <c r="J33" s="41">
        <v>1318647</v>
      </c>
      <c r="K33" s="9">
        <f t="shared" si="0"/>
        <v>218895.402</v>
      </c>
    </row>
    <row r="34" spans="1:11" x14ac:dyDescent="0.3">
      <c r="A34" s="38" t="s">
        <v>31</v>
      </c>
      <c r="B34" s="40">
        <f>B21*(B20-B28)/(B28-B27)-B6</f>
        <v>-0.22954842480186127</v>
      </c>
      <c r="H34" s="37">
        <f>H33+1</f>
        <v>2006</v>
      </c>
      <c r="I34" s="42">
        <v>0.17199999999999999</v>
      </c>
      <c r="J34" s="41">
        <v>464620</v>
      </c>
      <c r="K34" s="9">
        <f t="shared" si="0"/>
        <v>79914.64</v>
      </c>
    </row>
    <row r="35" spans="1:11" x14ac:dyDescent="0.3">
      <c r="A35" s="38" t="s">
        <v>16</v>
      </c>
      <c r="B35" s="40">
        <f>ABS(B21/B6*(B28-B20)/(B27-B28)-1)</f>
        <v>0.67514242588782736</v>
      </c>
      <c r="H35" s="37">
        <f t="shared" ref="H35:H38" si="6">H34+1</f>
        <v>2007</v>
      </c>
      <c r="I35" s="42">
        <v>0.16339999999999999</v>
      </c>
      <c r="J35" s="41">
        <v>285746</v>
      </c>
      <c r="K35" s="9">
        <f t="shared" si="0"/>
        <v>46690.896399999998</v>
      </c>
    </row>
    <row r="36" spans="1:11" x14ac:dyDescent="0.3">
      <c r="A36" s="38" t="s">
        <v>32</v>
      </c>
      <c r="B36" s="40">
        <f>ABS(2*(B28-B20)/(3*(B27-B28))-1)</f>
        <v>0.6931900688940591</v>
      </c>
      <c r="H36" s="37">
        <f t="shared" si="6"/>
        <v>2008</v>
      </c>
      <c r="I36" s="42">
        <v>0.1812</v>
      </c>
      <c r="J36" s="41">
        <v>199069</v>
      </c>
      <c r="K36" s="9">
        <f t="shared" si="0"/>
        <v>36071.302799999998</v>
      </c>
    </row>
    <row r="37" spans="1:11" x14ac:dyDescent="0.3">
      <c r="A37" s="38" t="s">
        <v>33</v>
      </c>
      <c r="B37" s="7">
        <f>(3*B27+B20)/4</f>
        <v>15.170619020870415</v>
      </c>
      <c r="H37" s="37">
        <f t="shared" si="6"/>
        <v>2009</v>
      </c>
      <c r="I37" s="42">
        <v>0.21579999999999999</v>
      </c>
      <c r="J37" s="41">
        <v>93321</v>
      </c>
      <c r="K37" s="9">
        <f t="shared" si="0"/>
        <v>20138.6718</v>
      </c>
    </row>
    <row r="38" spans="1:11" x14ac:dyDescent="0.3">
      <c r="H38" s="37">
        <f t="shared" si="6"/>
        <v>2010</v>
      </c>
      <c r="I38" s="42">
        <v>0.19120000000000001</v>
      </c>
      <c r="J38" s="41">
        <v>126241</v>
      </c>
      <c r="K38" s="9">
        <f t="shared" si="0"/>
        <v>24137.279200000001</v>
      </c>
    </row>
    <row r="39" spans="1:11" x14ac:dyDescent="0.3">
      <c r="H39" s="37">
        <v>2011</v>
      </c>
      <c r="I39" s="42">
        <v>0.18310000000000001</v>
      </c>
      <c r="J39" s="41">
        <v>218711</v>
      </c>
      <c r="K39" s="9">
        <f t="shared" si="0"/>
        <v>40045.984100000001</v>
      </c>
    </row>
    <row r="40" spans="1:11" x14ac:dyDescent="0.3">
      <c r="H40" s="37">
        <v>2005</v>
      </c>
      <c r="I40" s="42">
        <v>0.20799999999999999</v>
      </c>
      <c r="J40" s="41">
        <v>479961</v>
      </c>
      <c r="K40" s="9">
        <f t="shared" si="0"/>
        <v>99831.887999999992</v>
      </c>
    </row>
    <row r="41" spans="1:11" x14ac:dyDescent="0.3">
      <c r="H41" s="37">
        <f>H40+1</f>
        <v>2006</v>
      </c>
      <c r="I41" s="42">
        <v>0.18099999999999999</v>
      </c>
      <c r="J41" s="41">
        <v>997782</v>
      </c>
      <c r="K41" s="9">
        <f t="shared" si="0"/>
        <v>180598.54199999999</v>
      </c>
    </row>
    <row r="42" spans="1:11" x14ac:dyDescent="0.3">
      <c r="H42" s="37">
        <f t="shared" ref="H42:H45" si="7">H41+1</f>
        <v>2007</v>
      </c>
      <c r="I42" s="42">
        <v>0.1933</v>
      </c>
      <c r="J42" s="41">
        <v>309454</v>
      </c>
      <c r="K42" s="9">
        <f t="shared" si="0"/>
        <v>59817.458200000001</v>
      </c>
    </row>
    <row r="43" spans="1:11" x14ac:dyDescent="0.3">
      <c r="H43" s="37">
        <f t="shared" si="7"/>
        <v>2008</v>
      </c>
      <c r="I43" s="42">
        <v>0.1832</v>
      </c>
      <c r="J43" s="41">
        <v>137529</v>
      </c>
      <c r="K43" s="9">
        <f t="shared" si="0"/>
        <v>25195.3128</v>
      </c>
    </row>
    <row r="44" spans="1:11" x14ac:dyDescent="0.3">
      <c r="H44" s="37">
        <f t="shared" si="7"/>
        <v>2009</v>
      </c>
      <c r="I44" s="42">
        <v>0.2162</v>
      </c>
      <c r="J44" s="41">
        <v>86137</v>
      </c>
      <c r="K44" s="9">
        <f t="shared" si="0"/>
        <v>18622.8194</v>
      </c>
    </row>
    <row r="45" spans="1:11" x14ac:dyDescent="0.3">
      <c r="H45" s="37">
        <f t="shared" si="7"/>
        <v>2010</v>
      </c>
      <c r="I45" s="42">
        <v>0.2203</v>
      </c>
      <c r="J45" s="41">
        <v>83893</v>
      </c>
      <c r="K45" s="9">
        <f t="shared" si="0"/>
        <v>18481.627899999999</v>
      </c>
    </row>
    <row r="46" spans="1:11" x14ac:dyDescent="0.3">
      <c r="H46" s="37">
        <v>2011</v>
      </c>
      <c r="I46" s="42">
        <v>0.19700000000000001</v>
      </c>
      <c r="J46" s="41">
        <v>130127</v>
      </c>
      <c r="K46" s="9">
        <f t="shared" si="0"/>
        <v>25635.019</v>
      </c>
    </row>
    <row r="47" spans="1:11" x14ac:dyDescent="0.3">
      <c r="H47" s="37">
        <v>2005</v>
      </c>
      <c r="I47" s="42">
        <v>0.223</v>
      </c>
      <c r="J47" s="41">
        <v>576154</v>
      </c>
      <c r="K47" s="9">
        <f t="shared" si="0"/>
        <v>128482.342</v>
      </c>
    </row>
    <row r="48" spans="1:11" x14ac:dyDescent="0.3">
      <c r="H48" s="37">
        <f>H47+1</f>
        <v>2006</v>
      </c>
      <c r="I48" s="42">
        <v>0.22</v>
      </c>
      <c r="J48" s="41">
        <v>252150</v>
      </c>
      <c r="K48" s="9">
        <f t="shared" si="0"/>
        <v>55473</v>
      </c>
    </row>
    <row r="49" spans="8:11" x14ac:dyDescent="0.3">
      <c r="H49" s="37">
        <f t="shared" ref="H49:H52" si="8">H48+1</f>
        <v>2007</v>
      </c>
      <c r="I49" s="42">
        <v>0.19</v>
      </c>
      <c r="J49" s="41">
        <v>629187</v>
      </c>
      <c r="K49" s="9">
        <f t="shared" si="0"/>
        <v>119545.53</v>
      </c>
    </row>
    <row r="50" spans="8:11" x14ac:dyDescent="0.3">
      <c r="H50" s="37">
        <f t="shared" si="8"/>
        <v>2008</v>
      </c>
      <c r="I50" s="42">
        <v>0.2157</v>
      </c>
      <c r="J50" s="41">
        <v>118349</v>
      </c>
      <c r="K50" s="9">
        <f t="shared" si="0"/>
        <v>25527.879300000001</v>
      </c>
    </row>
    <row r="51" spans="8:11" x14ac:dyDescent="0.3">
      <c r="H51" s="37">
        <f t="shared" si="8"/>
        <v>2009</v>
      </c>
      <c r="I51" s="42">
        <v>0.23899999999999999</v>
      </c>
      <c r="J51" s="41">
        <v>37951</v>
      </c>
      <c r="K51" s="9">
        <f t="shared" si="0"/>
        <v>9070.2889999999989</v>
      </c>
    </row>
    <row r="52" spans="8:11" x14ac:dyDescent="0.3">
      <c r="H52" s="37">
        <f t="shared" si="8"/>
        <v>2010</v>
      </c>
      <c r="I52" s="42">
        <v>0.21929999999999999</v>
      </c>
      <c r="J52" s="41">
        <v>61542</v>
      </c>
      <c r="K52" s="9">
        <f t="shared" si="0"/>
        <v>13496.160599999999</v>
      </c>
    </row>
    <row r="53" spans="8:11" x14ac:dyDescent="0.3">
      <c r="H53" s="37">
        <v>2011</v>
      </c>
      <c r="I53" s="42">
        <v>0.2167</v>
      </c>
      <c r="J53" s="41">
        <v>62938</v>
      </c>
      <c r="K53" s="9">
        <f t="shared" si="0"/>
        <v>13638.6646</v>
      </c>
    </row>
    <row r="54" spans="8:11" x14ac:dyDescent="0.3">
      <c r="H54" s="37">
        <v>2005</v>
      </c>
      <c r="I54" s="42">
        <v>0.24</v>
      </c>
      <c r="J54" s="41">
        <v>115212</v>
      </c>
      <c r="K54" s="9">
        <f t="shared" si="0"/>
        <v>27650.879999999997</v>
      </c>
    </row>
    <row r="55" spans="8:11" x14ac:dyDescent="0.3">
      <c r="H55" s="37">
        <f>H54+1</f>
        <v>2006</v>
      </c>
      <c r="I55" s="42">
        <v>0.23699999999999999</v>
      </c>
      <c r="J55" s="41">
        <v>247042</v>
      </c>
      <c r="K55" s="9">
        <f t="shared" si="0"/>
        <v>58548.953999999998</v>
      </c>
    </row>
    <row r="56" spans="8:11" x14ac:dyDescent="0.3">
      <c r="H56" s="37">
        <f t="shared" ref="H56:H59" si="9">H55+1</f>
        <v>2007</v>
      </c>
      <c r="I56" s="42">
        <v>0.22320000000000001</v>
      </c>
      <c r="J56" s="41">
        <v>147830</v>
      </c>
      <c r="K56" s="9">
        <f t="shared" si="0"/>
        <v>32995.656000000003</v>
      </c>
    </row>
    <row r="57" spans="8:11" x14ac:dyDescent="0.3">
      <c r="H57" s="37">
        <f t="shared" si="9"/>
        <v>2008</v>
      </c>
      <c r="I57" s="42">
        <v>0.21609999999999999</v>
      </c>
      <c r="J57" s="41">
        <v>215542</v>
      </c>
      <c r="K57" s="9">
        <f t="shared" si="0"/>
        <v>46578.626199999999</v>
      </c>
    </row>
    <row r="58" spans="8:11" x14ac:dyDescent="0.3">
      <c r="H58" s="37">
        <f t="shared" si="9"/>
        <v>2009</v>
      </c>
      <c r="I58" s="42">
        <v>0.24279999999999999</v>
      </c>
      <c r="J58" s="41">
        <v>53130</v>
      </c>
      <c r="K58" s="9">
        <f t="shared" si="0"/>
        <v>12899.964</v>
      </c>
    </row>
    <row r="59" spans="8:11" x14ac:dyDescent="0.3">
      <c r="H59" s="37">
        <f t="shared" si="9"/>
        <v>2010</v>
      </c>
      <c r="I59" s="42">
        <v>0.216</v>
      </c>
      <c r="J59" s="41">
        <v>33305</v>
      </c>
      <c r="K59" s="9">
        <f t="shared" si="0"/>
        <v>7193.88</v>
      </c>
    </row>
    <row r="60" spans="8:11" x14ac:dyDescent="0.3">
      <c r="H60" s="37">
        <v>2011</v>
      </c>
      <c r="I60" s="42">
        <v>0.22109999999999999</v>
      </c>
      <c r="J60" s="41">
        <v>52081</v>
      </c>
      <c r="K60" s="9">
        <f t="shared" si="0"/>
        <v>11515.1091</v>
      </c>
    </row>
    <row r="61" spans="8:11" x14ac:dyDescent="0.3">
      <c r="H61" s="42">
        <v>2005</v>
      </c>
      <c r="I61" s="42">
        <v>0.26536759999999998</v>
      </c>
      <c r="J61" s="41">
        <v>146808</v>
      </c>
      <c r="K61" s="9">
        <f t="shared" si="0"/>
        <v>38958.086620800001</v>
      </c>
    </row>
    <row r="62" spans="8:11" x14ac:dyDescent="0.3">
      <c r="H62" s="42">
        <f>H61+1</f>
        <v>2006</v>
      </c>
      <c r="I62" s="42">
        <v>0.24600610000000001</v>
      </c>
      <c r="J62" s="41">
        <v>106412</v>
      </c>
      <c r="K62" s="9">
        <f t="shared" si="0"/>
        <v>26178.0011132</v>
      </c>
    </row>
    <row r="63" spans="8:11" x14ac:dyDescent="0.3">
      <c r="H63" s="42">
        <f t="shared" ref="H63:H66" si="10">H62+1</f>
        <v>2007</v>
      </c>
      <c r="I63" s="42">
        <v>0.23749329999999999</v>
      </c>
      <c r="J63" s="41">
        <v>156750</v>
      </c>
      <c r="K63" s="9">
        <f t="shared" si="0"/>
        <v>37227.074775000001</v>
      </c>
    </row>
    <row r="64" spans="8:11" x14ac:dyDescent="0.3">
      <c r="H64" s="42">
        <f t="shared" si="10"/>
        <v>2008</v>
      </c>
      <c r="I64" s="42">
        <v>0.26207599999999998</v>
      </c>
      <c r="J64" s="41">
        <v>117258</v>
      </c>
      <c r="K64" s="9">
        <f t="shared" si="0"/>
        <v>30730.507607999996</v>
      </c>
    </row>
    <row r="65" spans="8:11" x14ac:dyDescent="0.3">
      <c r="H65" s="42">
        <f t="shared" si="10"/>
        <v>2009</v>
      </c>
      <c r="I65" s="42">
        <v>0.25327230000000001</v>
      </c>
      <c r="J65" s="41">
        <v>143131</v>
      </c>
      <c r="K65" s="9">
        <f t="shared" si="0"/>
        <v>36251.117571299998</v>
      </c>
    </row>
    <row r="66" spans="8:11" x14ac:dyDescent="0.3">
      <c r="H66" s="42">
        <f t="shared" si="10"/>
        <v>2010</v>
      </c>
      <c r="I66" s="42">
        <v>0.2383892</v>
      </c>
      <c r="J66" s="41">
        <v>113675</v>
      </c>
      <c r="K66" s="9">
        <f t="shared" si="0"/>
        <v>27098.892309999999</v>
      </c>
    </row>
    <row r="67" spans="8:11" x14ac:dyDescent="0.3">
      <c r="H67" s="42">
        <v>2011</v>
      </c>
      <c r="I67" s="42">
        <v>0.23191800000000001</v>
      </c>
      <c r="J67" s="41">
        <v>125734</v>
      </c>
      <c r="K67" s="9">
        <f t="shared" si="0"/>
        <v>29159.977812000001</v>
      </c>
    </row>
    <row r="68" spans="8:11" x14ac:dyDescent="0.3">
      <c r="H68" s="37" t="s">
        <v>42</v>
      </c>
      <c r="J68" s="43">
        <f>SUM(J5:J67)</f>
        <v>20030849</v>
      </c>
      <c r="K68" s="43">
        <f>SUM(K5:K67)</f>
        <v>2427818.8145102998</v>
      </c>
    </row>
    <row r="69" spans="8:11" x14ac:dyDescent="0.3">
      <c r="H69" s="37" t="s">
        <v>43</v>
      </c>
      <c r="K69" s="26">
        <f>K68/J68</f>
        <v>0.12120398963170756</v>
      </c>
    </row>
  </sheetData>
  <hyperlinks>
    <hyperlink ref="D1" r:id="rId1" display="http://www.ices.dk/reports/ACOM/2012/HAWG/Sec 02 North Sea Herring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Graphs</vt:lpstr>
      <vt:lpstr>Spr-2232</vt:lpstr>
      <vt:lpstr>Cod-2532</vt:lpstr>
      <vt:lpstr>Cod-arct</vt:lpstr>
      <vt:lpstr>Her-noss</vt:lpstr>
      <vt:lpstr>Her-30</vt:lpstr>
      <vt:lpstr>Her-31</vt:lpstr>
      <vt:lpstr>Her-nsea</vt:lpstr>
      <vt:lpstr>ple-nsea</vt:lpstr>
      <vt:lpstr>sai-nsea</vt:lpstr>
      <vt:lpstr>cod-347d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Froese, Rainer</cp:lastModifiedBy>
  <dcterms:created xsi:type="dcterms:W3CDTF">2012-07-19T18:43:06Z</dcterms:created>
  <dcterms:modified xsi:type="dcterms:W3CDTF">2012-11-13T12:58:15Z</dcterms:modified>
</cp:coreProperties>
</file>